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mrzo\OneDrive\Робочий стіл\РОВ\ММР ЗО\Рішення\40 сесія\проекті сайт\"/>
    </mc:Choice>
  </mc:AlternateContent>
  <xr:revisionPtr revIDLastSave="0" documentId="13_ncr:1_{B4CFE253-6118-49E2-9B4F-BCE6EEAC8A25}"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9" i="2" l="1"/>
  <c r="H261" i="2"/>
  <c r="G90" i="2"/>
  <c r="F257" i="2"/>
  <c r="F256" i="2"/>
  <c r="F255" i="2"/>
  <c r="F253" i="2"/>
  <c r="G253" i="2"/>
  <c r="F247" i="2"/>
  <c r="F244" i="2"/>
  <c r="K419" i="2"/>
  <c r="F329" i="2"/>
  <c r="I350" i="2"/>
  <c r="F60" i="2"/>
  <c r="G60" i="2"/>
  <c r="F145" i="2"/>
  <c r="F34" i="2"/>
  <c r="F109" i="2"/>
  <c r="F414" i="2"/>
  <c r="K414" i="2"/>
  <c r="H414" i="2"/>
  <c r="F411" i="2"/>
  <c r="G411" i="2"/>
  <c r="F396" i="2"/>
  <c r="G396" i="2"/>
  <c r="F271" i="2"/>
  <c r="F270" i="2"/>
  <c r="G270" i="2"/>
  <c r="F268" i="2"/>
  <c r="G268" i="2"/>
  <c r="F267" i="2"/>
  <c r="F265" i="2"/>
  <c r="G265" i="2"/>
  <c r="F264" i="2"/>
  <c r="F262" i="2"/>
  <c r="G262" i="2"/>
  <c r="F261" i="2"/>
  <c r="G261" i="2"/>
  <c r="F245"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K109" i="2"/>
  <c r="G109" i="2"/>
  <c r="F90" i="2"/>
  <c r="F44" i="2"/>
  <c r="H60" i="2" l="1"/>
  <c r="F56" i="2" l="1"/>
  <c r="G56" i="2"/>
  <c r="F160" i="2"/>
  <c r="G160" i="2"/>
  <c r="F287" i="2"/>
  <c r="G287" i="2"/>
  <c r="F282" i="2"/>
  <c r="G282" i="2"/>
  <c r="F278" i="2"/>
  <c r="F277" i="2"/>
  <c r="H84" i="2"/>
  <c r="K84" i="2"/>
  <c r="K60" i="2"/>
  <c r="F84" i="2"/>
  <c r="F31" i="2" l="1"/>
  <c r="F415" i="2"/>
  <c r="K329" i="2"/>
  <c r="O351" i="2" l="1"/>
  <c r="J351" i="2" s="1"/>
  <c r="P351" i="2" s="1"/>
  <c r="E351" i="2"/>
  <c r="O417" i="2"/>
  <c r="J417" i="2"/>
  <c r="E417" i="2"/>
  <c r="P417" i="2" s="1"/>
  <c r="K39" i="2" l="1"/>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H287" i="2"/>
  <c r="O389" i="2" l="1"/>
  <c r="K328" i="2"/>
  <c r="G255" i="2"/>
  <c r="K253" i="2"/>
  <c r="E418" i="2"/>
  <c r="O418" i="2"/>
  <c r="J418" i="2" s="1"/>
  <c r="P418" i="2" s="1"/>
  <c r="F39" i="2" l="1"/>
  <c r="E39" i="2" s="1"/>
  <c r="F288" i="2"/>
  <c r="G288" i="2"/>
  <c r="O257" i="2"/>
  <c r="J257" i="2" s="1"/>
  <c r="E257" i="2"/>
  <c r="K255" i="2"/>
  <c r="K252" i="2" s="1"/>
  <c r="H255" i="2"/>
  <c r="F252" i="2"/>
  <c r="H253" i="2"/>
  <c r="F87" i="2"/>
  <c r="H54" i="2"/>
  <c r="G84" i="2"/>
  <c r="F413" i="2"/>
  <c r="G414" i="2"/>
  <c r="F36" i="2"/>
  <c r="F25" i="2"/>
  <c r="E25" i="2" s="1"/>
  <c r="O39" i="2"/>
  <c r="J39" i="2" s="1"/>
  <c r="K17" i="2"/>
  <c r="O17" i="2" s="1"/>
  <c r="F17" i="2"/>
  <c r="F78" i="2"/>
  <c r="O419" i="2"/>
  <c r="G78" i="2"/>
  <c r="G252" i="2"/>
  <c r="F280" i="2"/>
  <c r="O32" i="2"/>
  <c r="O33" i="2"/>
  <c r="O34" i="2"/>
  <c r="J34" i="2" s="1"/>
  <c r="O288" i="2"/>
  <c r="O84" i="2"/>
  <c r="O145" i="2"/>
  <c r="J145" i="2" s="1"/>
  <c r="H17" i="2"/>
  <c r="H16" i="2" s="1"/>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3" i="2" l="1"/>
  <c r="E252" i="2"/>
  <c r="E328" i="2"/>
  <c r="G421" i="2"/>
  <c r="E412" i="2"/>
  <c r="E16" i="2"/>
  <c r="E14" i="2" s="1"/>
  <c r="J36" i="2"/>
  <c r="P36" i="2" s="1"/>
  <c r="O16" i="2"/>
  <c r="O14" i="2" s="1"/>
  <c r="J16" i="2"/>
  <c r="J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H421" i="2"/>
  <c r="P18" i="2"/>
  <c r="P61" i="2"/>
  <c r="P48" i="2" s="1"/>
  <c r="P86" i="2"/>
  <c r="P88" i="2"/>
  <c r="P52" i="2"/>
  <c r="P111" i="2"/>
  <c r="P117" i="2"/>
  <c r="P178" i="2"/>
  <c r="P183" i="2"/>
  <c r="O215" i="2"/>
  <c r="J215" i="2" s="1"/>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P413" i="2" l="1"/>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<sst xmlns="http://schemas.openxmlformats.org/spreadsheetml/2006/main" count="1114" uniqueCount="728">
  <si>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</si>
  <si>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</si>
  <si>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</si>
  <si>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</si>
  <si>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</si>
  <si>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</si>
  <si>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</si>
  <si>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</si>
  <si>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</si>
  <si>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</si>
  <si>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</si>
  <si>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</si>
  <si>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</si>
  <si>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</si>
  <si>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</si>
  <si>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</si>
  <si>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</si>
  <si>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</si>
  <si>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</si>
  <si>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</si>
  <si>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</si>
  <si>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</si>
  <si>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</si>
  <si>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</si>
  <si>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</si>
  <si>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</si>
  <si>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</si>
  <si>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</si>
  <si>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</si>
  <si>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</si>
  <si>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</si>
  <si>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</si>
  <si>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</si>
  <si>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</si>
  <si>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</si>
  <si>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</si>
  <si>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</si>
  <si>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</si>
  <si>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</si>
  <si>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</si>
  <si>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</si>
  <si>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</si>
  <si>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</si>
  <si>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</si>
  <si>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</si>
  <si>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</si>
  <si>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</si>
  <si>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</si>
  <si>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</si>
  <si>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</si>
  <si>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</si>
  <si>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</si>
  <si>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</si>
  <si>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</si>
  <si>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</si>
  <si>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</si>
  <si>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</si>
  <si>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</si>
  <si>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</si>
  <si>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</si>
  <si>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</si>
  <si>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</si>
  <si>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</si>
  <si>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</si>
  <si>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</si>
  <si>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</si>
  <si>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</si>
  <si>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</si>
  <si>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</si>
  <si>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</si>
  <si>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</si>
  <si>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</si>
  <si>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</si>
  <si>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</si>
  <si>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</si>
  <si>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</si>
  <si>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</si>
  <si>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</si>
  <si>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</si>
  <si>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</si>
  <si>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</si>
  <si>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</si>
  <si>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</si>
  <si>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</si>
  <si>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</si>
  <si>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</si>
  <si>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</si>
  <si>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</si>
  <si>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</si>
  <si>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</si>
  <si>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</si>
  <si>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</si>
  <si>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</si>
  <si>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</si>
  <si>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</si>
  <si>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</si>
  <si>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</si>
  <si>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</si>
  <si>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</si>
  <si>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</si>
  <si>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</si>
  <si>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</si>
  <si>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</si>
  <si>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</si>
  <si>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</si>
  <si>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</si>
  <si>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</si>
  <si>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</si>
  <si>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</si>
  <si>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</si>
  <si>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</si>
  <si>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</si>
  <si>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</si>
  <si>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</si>
  <si>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</si>
  <si>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</si>
  <si>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</si>
  <si>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</si>
  <si>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</si>
  <si>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</si>
  <si>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</si>
  <si>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</si>
  <si>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</si>
  <si>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</si>
  <si>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</si>
  <si>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</si>
  <si>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</si>
  <si>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</si>
  <si>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</si>
  <si>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</si>
  <si>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</si>
  <si>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</si>
  <si>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</si>
  <si>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</si>
  <si>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</si>
  <si>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</si>
  <si>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</si>
  <si>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</si>
  <si>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</si>
  <si>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</si>
  <si>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</si>
  <si>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</si>
  <si>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</si>
  <si>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</si>
  <si>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</si>
  <si>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</si>
  <si>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</si>
  <si>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</si>
  <si>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</si>
  <si>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</si>
  <si>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</si>
  <si>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</si>
  <si>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</si>
  <si>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</si>
  <si>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</si>
  <si>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</si>
  <si>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</si>
  <si>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</si>
  <si>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</si>
  <si>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</si>
  <si>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</si>
  <si>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</si>
  <si>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</si>
  <si>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</si>
  <si>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</si>
  <si>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</si>
  <si>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</si>
  <si>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</si>
  <si>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</si>
  <si>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</si>
  <si>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</si>
  <si>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</si>
  <si>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</si>
  <si>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</si>
  <si>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</si>
  <si>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</si>
  <si>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</si>
  <si>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</si>
  <si>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</si>
  <si>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</si>
  <si>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</si>
  <si>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</si>
  <si>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</si>
  <si>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</si>
  <si>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</si>
  <si>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</si>
  <si>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</si>
  <si>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</si>
  <si>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</si>
  <si>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</si>
  <si>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</si>
  <si>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</si>
  <si>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</si>
  <si>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</si>
  <si>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</si>
  <si>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</si>
  <si>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</si>
  <si>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</si>
  <si>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</si>
  <si>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</si>
  <si>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</si>
  <si>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</si>
  <si>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</si>
  <si>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</si>
  <si>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</si>
  <si>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</si>
  <si>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</si>
  <si>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</si>
  <si>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</si>
  <si>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</si>
  <si>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</si>
  <si>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</si>
  <si>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</si>
  <si>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</si>
  <si>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</si>
  <si>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</si>
  <si>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</si>
  <si>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</si>
  <si>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</si>
  <si>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</si>
  <si>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</si>
  <si>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</si>
  <si>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</si>
  <si>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</si>
  <si>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</si>
  <si>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</si>
  <si>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</si>
  <si>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</si>
  <si>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</si>
  <si>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</si>
  <si>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</si>
  <si>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</si>
  <si>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</si>
  <si>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</si>
  <si>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</si>
  <si>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</si>
  <si>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</si>
  <si>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</si>
  <si>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</si>
  <si>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</si>
  <si>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</si>
  <si>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</si>
  <si>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</si>
  <si>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</si>
  <si>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</si>
  <si>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</si>
  <si>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</si>
  <si>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</si>
  <si>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</si>
  <si>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</si>
  <si>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</si>
  <si>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</si>
  <si>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</si>
  <si>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</si>
  <si>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</si>
  <si>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</si>
  <si>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</si>
  <si>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</si>
  <si>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</si>
  <si>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</si>
  <si>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</si>
  <si>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</si>
  <si>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</si>
  <si>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</si>
  <si>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</si>
  <si>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</si>
  <si>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</si>
  <si>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</si>
  <si>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</si>
  <si>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</si>
  <si>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</si>
  <si>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</si>
  <si>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</si>
  <si>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</si>
  <si>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</si>
  <si>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</si>
  <si>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</si>
  <si>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</si>
  <si>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</si>
  <si>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</si>
  <si>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</si>
  <si>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</si>
  <si>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</si>
  <si>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</si>
  <si>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</si>
  <si>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</si>
  <si>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</si>
  <si>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</si>
  <si>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</si>
  <si>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</si>
  <si>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</si>
  <si>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</si>
  <si>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</si>
  <si>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</si>
  <si>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</si>
  <si>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</si>
  <si>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</si>
  <si>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</si>
  <si>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</si>
  <si>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</si>
  <si>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</si>
  <si>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</si>
  <si>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</si>
  <si>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</si>
  <si>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</si>
  <si>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</si>
  <si>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</si>
  <si>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</si>
  <si>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</si>
  <si>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</si>
  <si>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</si>
  <si>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</si>
  <si>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</si>
  <si>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</si>
  <si>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</si>
  <si>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</si>
  <si>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</si>
  <si>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</si>
  <si>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</si>
  <si>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</si>
  <si>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</si>
  <si>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</si>
  <si>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</si>
  <si>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</si>
  <si>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</si>
  <si>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</si>
  <si>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</si>
  <si>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</si>
  <si>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</si>
  <si>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</si>
  <si>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</si>
  <si>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</si>
  <si>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</si>
  <si>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</si>
  <si>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</si>
  <si>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</si>
  <si>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</si>
  <si>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</si>
  <si>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</si>
  <si>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</si>
  <si>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</si>
  <si>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</si>
  <si>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</si>
  <si>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</si>
  <si>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</si>
  <si>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</si>
  <si>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</si>
  <si>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</si>
  <si>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</si>
  <si>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</si>
  <si>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</si>
  <si>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</si>
  <si>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</si>
  <si>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</si>
  <si>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</si>
  <si>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</si>
  <si>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</si>
  <si>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</si>
  <si>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</si>
  <si>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</si>
  <si>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</si>
  <si>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</si>
  <si>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</si>
  <si>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</si>
  <si>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</si>
  <si>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</si>
  <si>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</si>
  <si>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</si>
  <si>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</si>
  <si>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</si>
  <si>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</si>
  <si>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</si>
  <si>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</si>
  <si>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</si>
  <si>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</si>
  <si>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</si>
  <si>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</si>
  <si>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</si>
  <si>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</si>
  <si>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</si>
  <si>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</si>
  <si>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</si>
  <si>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</si>
  <si>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</si>
  <si>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</si>
  <si>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</si>
  <si>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</si>
  <si>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</si>
  <si>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</si>
  <si>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</si>
  <si>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</si>
  <si>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</si>
  <si>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</si>
  <si>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</si>
  <si>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</si>
  <si>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</si>
  <si>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</si>
  <si>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</si>
  <si>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</si>
  <si>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</si>
  <si>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</si>
  <si>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</si>
  <si>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</si>
  <si>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</si>
  <si>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</si>
  <si>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</si>
  <si>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</si>
  <si>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</si>
  <si>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</si>
  <si>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</si>
  <si>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</si>
  <si>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</si>
  <si>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</si>
  <si>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</si>
  <si>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</si>
  <si>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</si>
  <si>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</si>
  <si>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</si>
  <si>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</si>
  <si>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</si>
  <si>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</si>
  <si>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</si>
  <si>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</si>
  <si>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</si>
  <si>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</si>
  <si>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</si>
  <si>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</si>
  <si>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</si>
  <si>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</si>
  <si>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</si>
  <si>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</si>
  <si>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</si>
  <si>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</si>
  <si>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</si>
  <si>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</si>
  <si>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</si>
  <si>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</si>
  <si>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</si>
  <si>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</si>
  <si>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</si>
  <si>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</si>
  <si>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</si>
  <si>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</si>
  <si>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</si>
  <si>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</si>
  <si>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</si>
  <si>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</si>
  <si>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</si>
  <si>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</si>
  <si>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</si>
  <si>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</si>
  <si>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</si>
  <si>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</si>
  <si>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</si>
  <si>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</si>
  <si>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</si>
  <si>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</si>
  <si>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</si>
  <si>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</si>
  <si>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</si>
  <si>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</si>
  <si>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</si>
  <si>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</si>
  <si>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</si>
  <si>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</si>
  <si>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</si>
  <si>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</si>
  <si>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</si>
  <si>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</si>
  <si>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</si>
  <si>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</si>
  <si>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</si>
  <si>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</si>
  <si>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</si>
  <si>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</si>
  <si>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</si>
  <si>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</si>
  <si>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</si>
  <si>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</si>
  <si>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</si>
  <si>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</si>
  <si>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</si>
  <si>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</si>
  <si>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</si>
  <si>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</si>
  <si>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</si>
  <si>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</si>
  <si>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</si>
  <si>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</si>
  <si>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</si>
  <si>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</si>
  <si>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</si>
  <si>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</si>
  <si>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</si>
  <si>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</si>
  <si>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</si>
  <si>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</si>
  <si>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</si>
  <si>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</si>
  <si>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</si>
  <si>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</si>
  <si>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</si>
  <si>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</si>
  <si>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</si>
  <si>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</si>
  <si>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</si>
  <si>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</si>
  <si>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</si>
  <si>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</si>
  <si>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</si>
  <si>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</si>
  <si>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</si>
  <si>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</si>
  <si>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</si>
  <si>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</si>
  <si>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</si>
  <si>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</si>
  <si>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</si>
  <si>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</si>
  <si>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</si>
  <si>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</si>
  <si>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</si>
  <si>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</si>
  <si>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</si>
  <si>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</si>
  <si>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</si>
  <si>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</si>
  <si>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</si>
  <si>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</si>
  <si>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</si>
  <si>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</si>
  <si>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</si>
  <si>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</si>
  <si>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</si>
  <si>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</si>
  <si>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</si>
  <si>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</si>
  <si>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</si>
  <si>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</si>
  <si>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</si>
  <si>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</si>
  <si>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</si>
  <si>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</si>
  <si>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</si>
  <si>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</si>
  <si>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</si>
  <si>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</si>
  <si>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</si>
  <si>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</si>
  <si>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</si>
  <si>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</si>
  <si>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</si>
  <si>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</si>
  <si>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</si>
  <si>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</si>
  <si>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</si>
  <si>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</si>
  <si>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</si>
  <si>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</si>
  <si>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</si>
  <si>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</si>
  <si>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</si>
  <si>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</si>
  <si>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</si>
  <si>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</si>
  <si>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</si>
  <si>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</si>
  <si>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</si>
  <si>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</si>
  <si>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</si>
  <si>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</si>
  <si>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</si>
  <si>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</si>
  <si>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</si>
  <si>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</si>
  <si>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</si>
  <si>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</si>
  <si>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</si>
  <si>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</si>
  <si>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</si>
  <si>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</si>
  <si>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</si>
  <si>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</si>
  <si>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</si>
  <si>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</si>
  <si>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</si>
  <si>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</si>
  <si>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</si>
  <si>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</si>
  <si>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</si>
  <si>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</si>
  <si>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</si>
  <si>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</si>
  <si>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</si>
  <si>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</si>
  <si>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</si>
  <si>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</si>
  <si>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</si>
  <si>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</si>
  <si>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</si>
  <si>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</si>
  <si>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</si>
  <si>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</si>
  <si>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</si>
  <si>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</si>
  <si>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</si>
  <si>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</si>
  <si>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</si>
  <si>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</si>
  <si>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</si>
  <si>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</si>
  <si>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</si>
  <si>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</si>
  <si>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</si>
  <si>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</si>
  <si>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</si>
  <si>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</si>
  <si>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</si>
  <si>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</si>
  <si>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</si>
  <si>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</si>
  <si>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</si>
  <si>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</si>
  <si>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</si>
  <si>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</si>
  <si>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</si>
  <si>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</si>
  <si>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</si>
  <si>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</si>
  <si>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</si>
  <si>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</si>
  <si>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</si>
  <si>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</si>
  <si>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</si>
  <si>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</si>
  <si>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</si>
  <si>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</si>
  <si>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</si>
  <si>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</si>
  <si>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</si>
  <si>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</si>
  <si>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</si>
  <si>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</si>
  <si>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</si>
  <si>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</si>
  <si>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</si>
  <si>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</si>
  <si>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</si>
  <si>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</si>
  <si>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</si>
  <si>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</si>
  <si>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</si>
  <si>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</si>
  <si>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</si>
  <si>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</si>
  <si>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</si>
  <si>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</si>
  <si>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</si>
  <si>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</si>
  <si>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</si>
  <si>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</si>
  <si>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</si>
  <si>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</si>
  <si>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</si>
  <si>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</si>
  <si>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</si>
  <si>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</si>
  <si>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</si>
  <si>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</si>
  <si>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</si>
  <si>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</si>
  <si>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</si>
  <si>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</si>
  <si>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</si>
  <si>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</si>
  <si>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</si>
  <si>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</si>
  <si>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</si>
  <si>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</si>
  <si>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</si>
  <si>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</si>
  <si>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</si>
  <si>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</si>
  <si>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</si>
  <si>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</si>
  <si>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</si>
  <si>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</si>
  <si>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</si>
  <si>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</si>
  <si>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</si>
  <si>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</si>
  <si>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</si>
  <si>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</si>
  <si>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</si>
  <si>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</si>
  <si>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</si>
  <si>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</si>
  <si>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</si>
  <si>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</si>
  <si>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</si>
  <si>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</si>
  <si>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</si>
  <si>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</si>
  <si>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</si>
  <si>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</si>
  <si>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</si>
  <si>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</si>
  <si>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</si>
  <si>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</si>
  <si>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</si>
  <si>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</si>
  <si>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</si>
  <si>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</si>
  <si>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</si>
  <si>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</si>
  <si>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</si>
  <si>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</si>
  <si>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</si>
  <si>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</si>
  <si>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</si>
  <si>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</si>
  <si>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</si>
  <si>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</si>
  <si>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</si>
  <si>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</si>
  <si>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</si>
  <si>
    <t>до рішення   сесії Мелітопольської міської ради Запорізької області VIII скликання</t>
  </si>
  <si>
    <t xml:space="preserve">від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</si>
</sst>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
      <sz val="11"/>
      <color rgb="FFFF0000"/>
      <name val="Calibri"/>
      <family val="2"/>
      <scheme val="minor"/>
    </font>
    <font>
      <sz val="8"/>
      <color rgb="FFFF0000"/>
      <name val="Arial"/>
      <family val="2"/>
      <charset val="204"/>
    </font>
    <font>
      <sz val="10"/>
      <color rgb="FFFF0000"/>
      <name val="Arial"/>
      <family val="2"/>
      <charset val="204"/>
    </font>
    <font>
      <b/>
      <sz val="10"/>
      <color rgb="FFFF0000"/>
      <name val="Arial"/>
      <family val="2"/>
      <charset val="204"/>
    </font>
    <font>
      <i/>
      <sz val="10"/>
      <color rgb="FFFF0000"/>
      <name val="Arial Cyr"/>
      <family val="2"/>
      <charset val="204"/>
    </font>
    <font>
      <i/>
      <sz val="8"/>
      <color rgb="FFFF0000"/>
      <name val="Arial"/>
      <family val="2"/>
      <charset val="204"/>
    </font>
    <font>
      <i/>
      <sz val="10"/>
      <color rgb="FFFF0000"/>
      <name val="Arial"/>
      <family val="2"/>
      <charset val="204"/>
    </font>
    <font>
      <sz val="10"/>
      <color rgb="FFFF0000"/>
      <name val="Times New Roman"/>
      <family val="1"/>
      <charset val="204"/>
    </font>
    <font>
      <i/>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43">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2" xfId="0" applyFont="1" applyBorder="1" applyAlignment="1">
      <alignment horizontal="right"/>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9" fontId="31" fillId="0" borderId="1" xfId="0" applyNumberFormat="1" applyFont="1" applyBorder="1" applyAlignment="1">
      <alignment horizontal="right" vertical="center"/>
    </xf>
    <xf numFmtId="49" fontId="32"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wrapText="1"/>
      <protection locked="0"/>
    </xf>
    <xf numFmtId="4" fontId="33" fillId="0" borderId="1" xfId="0" applyNumberFormat="1" applyFont="1" applyBorder="1" applyAlignment="1">
      <alignment horizontal="right" wrapText="1"/>
    </xf>
    <xf numFmtId="4" fontId="34" fillId="0" borderId="1" xfId="0" applyNumberFormat="1" applyFont="1" applyBorder="1" applyAlignment="1">
      <alignment horizontal="right" wrapText="1"/>
    </xf>
    <xf numFmtId="0" fontId="31" fillId="0" borderId="0" xfId="0" applyFont="1"/>
    <xf numFmtId="49" fontId="32" fillId="0" borderId="1" xfId="0" applyNumberFormat="1" applyFont="1" applyBorder="1" applyAlignment="1">
      <alignment horizontal="center" vertical="center"/>
    </xf>
    <xf numFmtId="0" fontId="33" fillId="0" borderId="1" xfId="0" applyFont="1" applyBorder="1" applyAlignment="1">
      <alignment vertical="center" wrapText="1"/>
    </xf>
    <xf numFmtId="4" fontId="33" fillId="0" borderId="1" xfId="0" applyNumberFormat="1" applyFont="1" applyBorder="1" applyAlignment="1">
      <alignment horizontal="right"/>
    </xf>
    <xf numFmtId="4" fontId="33" fillId="0" borderId="1" xfId="0" quotePrefix="1" applyNumberFormat="1" applyFont="1" applyBorder="1" applyAlignment="1">
      <alignment horizontal="right" wrapText="1"/>
    </xf>
    <xf numFmtId="49" fontId="35" fillId="0" borderId="1" xfId="0" applyNumberFormat="1" applyFont="1" applyBorder="1" applyAlignment="1">
      <alignment horizontal="right" vertical="center"/>
    </xf>
    <xf numFmtId="49" fontId="36" fillId="0" borderId="1" xfId="0" applyNumberFormat="1" applyFont="1" applyBorder="1" applyAlignment="1">
      <alignment horizontal="center" vertical="center"/>
    </xf>
    <xf numFmtId="0" fontId="33" fillId="0" borderId="1" xfId="0" applyFont="1" applyBorder="1" applyAlignment="1" applyProtection="1">
      <alignment vertical="top" wrapText="1"/>
      <protection locked="0"/>
    </xf>
    <xf numFmtId="4" fontId="37" fillId="0" borderId="1" xfId="0" applyNumberFormat="1" applyFont="1" applyBorder="1" applyAlignment="1">
      <alignment horizontal="right"/>
    </xf>
    <xf numFmtId="0" fontId="35" fillId="0" borderId="0" xfId="0" applyFont="1"/>
    <xf numFmtId="2" fontId="33" fillId="0" borderId="1" xfId="0" applyNumberFormat="1" applyFont="1" applyBorder="1" applyAlignment="1">
      <alignment vertical="top" wrapText="1"/>
    </xf>
    <xf numFmtId="4" fontId="31" fillId="0" borderId="0" xfId="0" applyNumberFormat="1" applyFont="1"/>
    <xf numFmtId="49" fontId="38" fillId="0" borderId="1" xfId="0" applyNumberFormat="1" applyFont="1" applyBorder="1" applyAlignment="1">
      <alignment horizontal="center" vertical="center"/>
    </xf>
    <xf numFmtId="0" fontId="33" fillId="0" borderId="1" xfId="0" applyFont="1" applyBorder="1" applyAlignment="1">
      <alignment vertical="top" wrapText="1"/>
    </xf>
    <xf numFmtId="0" fontId="33" fillId="0" borderId="1" xfId="0" applyFont="1" applyBorder="1"/>
    <xf numFmtId="0" fontId="31" fillId="0" borderId="1" xfId="0" applyFont="1" applyBorder="1"/>
    <xf numFmtId="4" fontId="33" fillId="0" borderId="1" xfId="0" applyNumberFormat="1" applyFont="1" applyBorder="1" applyAlignment="1">
      <alignment horizontal="right" vertical="center"/>
    </xf>
    <xf numFmtId="4" fontId="33" fillId="0" borderId="1" xfId="0" applyNumberFormat="1" applyFont="1" applyBorder="1" applyAlignment="1">
      <alignment horizontal="right" vertical="center" wrapText="1"/>
    </xf>
    <xf numFmtId="49" fontId="39" fillId="0" borderId="1" xfId="0" applyNumberFormat="1" applyFont="1" applyBorder="1" applyAlignment="1">
      <alignment horizontal="center" vertical="center"/>
    </xf>
    <xf numFmtId="4" fontId="37" fillId="0" borderId="1" xfId="0" applyNumberFormat="1" applyFont="1" applyBorder="1" applyAlignment="1">
      <alignment horizontal="right" vertical="center"/>
    </xf>
    <xf numFmtId="4" fontId="37" fillId="0" borderId="1" xfId="0" applyNumberFormat="1" applyFont="1" applyBorder="1" applyAlignment="1">
      <alignment horizontal="center" vertical="center"/>
    </xf>
    <xf numFmtId="4" fontId="33" fillId="0" borderId="1" xfId="0" applyNumberFormat="1" applyFont="1" applyBorder="1" applyAlignment="1">
      <alignment horizontal="center" vertical="center"/>
    </xf>
    <xf numFmtId="4" fontId="34" fillId="0" borderId="1" xfId="0" applyNumberFormat="1" applyFont="1" applyBorder="1" applyAlignment="1">
      <alignment horizontal="right" vertical="center" wrapText="1"/>
    </xf>
    <xf numFmtId="0" fontId="33" fillId="0" borderId="1" xfId="0" applyFont="1" applyBorder="1" applyAlignment="1" applyProtection="1">
      <alignment vertical="center" wrapText="1"/>
      <protection locked="0"/>
    </xf>
    <xf numFmtId="0" fontId="13" fillId="0" borderId="1" xfId="0" applyFont="1" applyBorder="1" applyAlignment="1">
      <alignment horizontal="justify" wrapText="1"/>
    </xf>
    <xf numFmtId="4" fontId="33" fillId="2" borderId="1" xfId="0" applyNumberFormat="1" applyFont="1" applyFill="1" applyBorder="1" applyAlignment="1">
      <alignment horizontal="right" wrapText="1"/>
    </xf>
    <xf numFmtId="4" fontId="33" fillId="2" borderId="1" xfId="0" applyNumberFormat="1" applyFont="1" applyFill="1" applyBorder="1" applyAlignment="1">
      <alignment horizontal="right"/>
    </xf>
    <xf numFmtId="4" fontId="37" fillId="2" borderId="1" xfId="0" applyNumberFormat="1" applyFont="1" applyFill="1" applyBorder="1" applyAlignment="1">
      <alignment horizontal="right"/>
    </xf>
    <xf numFmtId="0" fontId="13" fillId="0" borderId="0" xfId="0" applyFont="1" applyAlignment="1">
      <alignment horizontal="left"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zoomScale="70" zoomScaleNormal="70" zoomScaleSheetLayoutView="100" workbookViewId="0">
      <selection activeCell="N3" sqref="N3"/>
    </sheetView>
  </sheetViews>
  <sheetFormatPr defaultColWidth="9.33203125" defaultRowHeight="14.4" x14ac:dyDescent="0.3"/>
  <cols>
    <col min="1" max="1" width="11.5546875" style="1" customWidth="1"/>
    <col min="2" max="2" width="10.33203125" style="2" hidden="1"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35" t="s">
        <v>726</v>
      </c>
      <c r="O2" s="135"/>
      <c r="P2" s="135"/>
    </row>
    <row r="3" spans="1:18" x14ac:dyDescent="0.3">
      <c r="C3" s="8"/>
      <c r="N3" s="9" t="s">
        <v>727</v>
      </c>
      <c r="P3" s="10"/>
    </row>
    <row r="4" spans="1:18" ht="14.4" customHeight="1" x14ac:dyDescent="0.3">
      <c r="C4" s="8"/>
      <c r="N4" s="135"/>
      <c r="O4" s="135"/>
      <c r="P4" s="135"/>
    </row>
    <row r="5" spans="1:18" ht="17.399999999999999" x14ac:dyDescent="0.3">
      <c r="C5" s="136" t="s">
        <v>697</v>
      </c>
      <c r="D5" s="136"/>
      <c r="E5" s="136"/>
      <c r="F5" s="136"/>
      <c r="G5" s="136"/>
      <c r="H5" s="136"/>
      <c r="I5" s="136"/>
      <c r="J5" s="136"/>
      <c r="K5" s="136"/>
      <c r="L5" s="136"/>
      <c r="M5" s="136"/>
      <c r="N5" s="136"/>
      <c r="O5" s="136"/>
      <c r="P5" s="136"/>
    </row>
    <row r="6" spans="1:18" ht="17.399999999999999" x14ac:dyDescent="0.3">
      <c r="A6" s="11" t="s">
        <v>709</v>
      </c>
      <c r="C6" s="136"/>
      <c r="D6" s="136"/>
      <c r="E6" s="136"/>
      <c r="F6" s="136"/>
      <c r="G6" s="136"/>
      <c r="H6" s="136"/>
      <c r="I6" s="136"/>
      <c r="J6" s="136"/>
      <c r="K6" s="136"/>
      <c r="L6" s="136"/>
      <c r="M6" s="136"/>
      <c r="N6" s="136"/>
      <c r="O6" s="136"/>
      <c r="P6" s="136"/>
    </row>
    <row r="7" spans="1:18" x14ac:dyDescent="0.3">
      <c r="A7" s="12" t="s">
        <v>1</v>
      </c>
    </row>
    <row r="8" spans="1:18" ht="11.25" customHeight="1" x14ac:dyDescent="0.3">
      <c r="C8" s="13"/>
      <c r="P8" s="14" t="s">
        <v>2</v>
      </c>
    </row>
    <row r="9" spans="1:18" x14ac:dyDescent="0.3">
      <c r="A9" s="137" t="s">
        <v>3</v>
      </c>
      <c r="B9" s="138" t="s">
        <v>4</v>
      </c>
      <c r="C9" s="139" t="s">
        <v>5</v>
      </c>
      <c r="D9" s="140" t="s">
        <v>6</v>
      </c>
      <c r="E9" s="141" t="s">
        <v>7</v>
      </c>
      <c r="F9" s="141"/>
      <c r="G9" s="141"/>
      <c r="H9" s="141"/>
      <c r="I9" s="141"/>
      <c r="J9" s="141" t="s">
        <v>8</v>
      </c>
      <c r="K9" s="141"/>
      <c r="L9" s="141"/>
      <c r="M9" s="141"/>
      <c r="N9" s="141"/>
      <c r="O9" s="141"/>
      <c r="P9" s="141" t="s">
        <v>9</v>
      </c>
    </row>
    <row r="10" spans="1:18" ht="22.5" customHeight="1" x14ac:dyDescent="0.3">
      <c r="A10" s="137"/>
      <c r="B10" s="138"/>
      <c r="C10" s="139"/>
      <c r="D10" s="140"/>
      <c r="E10" s="134" t="s">
        <v>10</v>
      </c>
      <c r="F10" s="142" t="s">
        <v>11</v>
      </c>
      <c r="G10" s="134" t="s">
        <v>12</v>
      </c>
      <c r="H10" s="134"/>
      <c r="I10" s="134" t="s">
        <v>13</v>
      </c>
      <c r="J10" s="133" t="s">
        <v>725</v>
      </c>
      <c r="K10" s="133" t="s">
        <v>14</v>
      </c>
      <c r="L10" s="134" t="s">
        <v>11</v>
      </c>
      <c r="M10" s="134" t="s">
        <v>12</v>
      </c>
      <c r="N10" s="134"/>
      <c r="O10" s="134" t="s">
        <v>13</v>
      </c>
      <c r="P10" s="141"/>
    </row>
    <row r="11" spans="1:18" ht="21.75" customHeight="1" x14ac:dyDescent="0.3">
      <c r="A11" s="137"/>
      <c r="B11" s="138"/>
      <c r="C11" s="139"/>
      <c r="D11" s="140"/>
      <c r="E11" s="134"/>
      <c r="F11" s="142"/>
      <c r="G11" s="134" t="s">
        <v>15</v>
      </c>
      <c r="H11" s="134" t="s">
        <v>16</v>
      </c>
      <c r="I11" s="134"/>
      <c r="J11" s="133"/>
      <c r="K11" s="133"/>
      <c r="L11" s="134"/>
      <c r="M11" s="134" t="s">
        <v>15</v>
      </c>
      <c r="N11" s="134" t="s">
        <v>16</v>
      </c>
      <c r="O11" s="134"/>
      <c r="P11" s="141"/>
    </row>
    <row r="12" spans="1:18" ht="31.5" customHeight="1" x14ac:dyDescent="0.3">
      <c r="A12" s="137"/>
      <c r="B12" s="138"/>
      <c r="C12" s="139"/>
      <c r="D12" s="140"/>
      <c r="E12" s="134"/>
      <c r="F12" s="142"/>
      <c r="G12" s="134"/>
      <c r="H12" s="134"/>
      <c r="I12" s="134"/>
      <c r="J12" s="133"/>
      <c r="K12" s="133"/>
      <c r="L12" s="134"/>
      <c r="M12" s="134"/>
      <c r="N12" s="134"/>
      <c r="O12" s="134"/>
      <c r="P12" s="141"/>
    </row>
    <row r="13" spans="1:18" s="18" customFormat="1" ht="13.2" x14ac:dyDescent="0.25">
      <c r="A13" s="15">
        <v>1</v>
      </c>
      <c r="B13" s="15" t="s">
        <v>17</v>
      </c>
      <c r="C13" s="16">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18</v>
      </c>
      <c r="B14" s="20"/>
      <c r="C14" s="21"/>
      <c r="D14" s="22" t="s">
        <v>19</v>
      </c>
      <c r="E14" s="23">
        <f>E16</f>
        <v>129196190</v>
      </c>
      <c r="F14" s="23">
        <f t="shared" ref="F14:P14" si="0">F16</f>
        <v>129196190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277726032</v>
      </c>
      <c r="R14" s="24"/>
    </row>
    <row r="15" spans="1:18" s="31" customFormat="1" ht="13.8" hidden="1" x14ac:dyDescent="0.25">
      <c r="A15" s="25"/>
      <c r="B15" s="26"/>
      <c r="C15" s="27"/>
      <c r="D15" s="28" t="s">
        <v>20</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21</v>
      </c>
      <c r="B16" s="20"/>
      <c r="C16" s="21"/>
      <c r="D16" s="28" t="s">
        <v>19</v>
      </c>
      <c r="E16" s="23">
        <f>E17+E20+E44+E22+E25+E30+E26+E31+E28+E36+E37+E39+E42+E32+E35+E18+E34</f>
        <v>129196190</v>
      </c>
      <c r="F16" s="23">
        <f t="shared" ref="F16:I16" si="1">F17+F20+F44+F22+F25+F30+F26+F31+F28+F36+F37+F39+F42+F32+F35+F18+F34</f>
        <v>129196190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277726032</v>
      </c>
    </row>
    <row r="17" spans="1:17" ht="39.6" x14ac:dyDescent="0.3">
      <c r="A17" s="34" t="s">
        <v>22</v>
      </c>
      <c r="B17" s="35" t="s">
        <v>23</v>
      </c>
      <c r="C17" s="35" t="s">
        <v>24</v>
      </c>
      <c r="D17" s="36" t="s">
        <v>25</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26</v>
      </c>
      <c r="B18" s="35" t="s">
        <v>27</v>
      </c>
      <c r="C18" s="35"/>
      <c r="D18" s="40" t="s">
        <v>28</v>
      </c>
      <c r="E18" s="38">
        <f t="shared" si="3"/>
        <v>0</v>
      </c>
      <c r="F18" s="38"/>
      <c r="G18" s="38"/>
      <c r="H18" s="38"/>
      <c r="I18" s="38"/>
      <c r="J18" s="38">
        <f>L18+O18</f>
        <v>0</v>
      </c>
      <c r="K18" s="38"/>
      <c r="L18" s="38"/>
      <c r="M18" s="38"/>
      <c r="N18" s="38"/>
      <c r="O18" s="38"/>
      <c r="P18" s="23">
        <f t="shared" si="4"/>
        <v>0</v>
      </c>
    </row>
    <row r="19" spans="1:17" s="31" customFormat="1" ht="13.2" hidden="1" x14ac:dyDescent="0.25">
      <c r="A19" s="41" t="s">
        <v>29</v>
      </c>
      <c r="B19" s="42" t="s">
        <v>30</v>
      </c>
      <c r="C19" s="42" t="s">
        <v>31</v>
      </c>
      <c r="D19" s="43" t="s">
        <v>32</v>
      </c>
      <c r="E19" s="38">
        <f t="shared" si="3"/>
        <v>0</v>
      </c>
      <c r="F19" s="29"/>
      <c r="G19" s="29"/>
      <c r="H19" s="29"/>
      <c r="I19" s="29"/>
      <c r="J19" s="38">
        <f>L19+O19</f>
        <v>0</v>
      </c>
      <c r="K19" s="29"/>
      <c r="L19" s="29"/>
      <c r="M19" s="29"/>
      <c r="N19" s="29"/>
      <c r="O19" s="29"/>
      <c r="P19" s="23">
        <f t="shared" si="4"/>
        <v>0</v>
      </c>
    </row>
    <row r="20" spans="1:17" hidden="1" x14ac:dyDescent="0.3">
      <c r="A20" s="34" t="s">
        <v>33</v>
      </c>
      <c r="B20" s="35" t="s">
        <v>34</v>
      </c>
      <c r="C20" s="35"/>
      <c r="D20" s="40" t="s">
        <v>35</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36</v>
      </c>
      <c r="B21" s="42" t="s">
        <v>37</v>
      </c>
      <c r="C21" s="42" t="s">
        <v>38</v>
      </c>
      <c r="D21" s="45" t="s">
        <v>39</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40</v>
      </c>
      <c r="B22" s="35" t="s">
        <v>41</v>
      </c>
      <c r="C22" s="35"/>
      <c r="D22" s="47" t="s">
        <v>42</v>
      </c>
      <c r="E22" s="38">
        <f t="shared" si="3"/>
        <v>0</v>
      </c>
      <c r="F22" s="38"/>
      <c r="G22" s="38"/>
      <c r="H22" s="38"/>
      <c r="I22" s="38"/>
      <c r="J22" s="38">
        <f>J23</f>
        <v>0</v>
      </c>
      <c r="K22" s="38"/>
      <c r="L22" s="38"/>
      <c r="M22" s="38"/>
      <c r="N22" s="38"/>
      <c r="O22" s="38">
        <f t="shared" si="6"/>
        <v>0</v>
      </c>
      <c r="P22" s="23">
        <f t="shared" si="4"/>
        <v>0</v>
      </c>
    </row>
    <row r="23" spans="1:17" hidden="1" x14ac:dyDescent="0.3">
      <c r="A23" s="34" t="s">
        <v>43</v>
      </c>
      <c r="B23" s="35" t="s">
        <v>44</v>
      </c>
      <c r="C23" s="35" t="s">
        <v>45</v>
      </c>
      <c r="D23" s="48" t="s">
        <v>46</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47</v>
      </c>
      <c r="E24" s="29">
        <f t="shared" si="3"/>
        <v>0</v>
      </c>
      <c r="F24" s="29"/>
      <c r="G24" s="29"/>
      <c r="H24" s="29"/>
      <c r="I24" s="29"/>
      <c r="J24" s="38"/>
      <c r="K24" s="29"/>
      <c r="L24" s="29"/>
      <c r="M24" s="29"/>
      <c r="N24" s="29"/>
      <c r="O24" s="38"/>
      <c r="P24" s="30">
        <f t="shared" si="4"/>
        <v>0</v>
      </c>
    </row>
    <row r="25" spans="1:17" s="31" customFormat="1" ht="26.25" customHeight="1" x14ac:dyDescent="0.25">
      <c r="A25" s="50" t="s">
        <v>699</v>
      </c>
      <c r="B25" s="35" t="s">
        <v>246</v>
      </c>
      <c r="C25" s="35" t="s">
        <v>247</v>
      </c>
      <c r="D25" s="36" t="s">
        <v>248</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48</v>
      </c>
      <c r="B26" s="51" t="s">
        <v>49</v>
      </c>
      <c r="C26" s="51" t="s">
        <v>50</v>
      </c>
      <c r="D26" s="40" t="s">
        <v>51</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52</v>
      </c>
      <c r="E27" s="29"/>
      <c r="F27" s="29"/>
      <c r="G27" s="29"/>
      <c r="H27" s="29"/>
      <c r="I27" s="29"/>
      <c r="J27" s="29"/>
      <c r="K27" s="29"/>
      <c r="L27" s="29"/>
      <c r="M27" s="29"/>
      <c r="N27" s="29"/>
      <c r="O27" s="29"/>
      <c r="P27" s="23">
        <f t="shared" si="4"/>
        <v>0</v>
      </c>
    </row>
    <row r="28" spans="1:17" hidden="1" x14ac:dyDescent="0.3">
      <c r="A28" s="34" t="s">
        <v>53</v>
      </c>
      <c r="B28" s="35" t="s">
        <v>54</v>
      </c>
      <c r="C28" s="35" t="s">
        <v>55</v>
      </c>
      <c r="D28" s="54" t="s">
        <v>56</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57</v>
      </c>
      <c r="B29" s="35" t="s">
        <v>58</v>
      </c>
      <c r="C29" s="55" t="s">
        <v>59</v>
      </c>
      <c r="D29" s="36" t="s">
        <v>60</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700</v>
      </c>
      <c r="B30" s="35" t="s">
        <v>701</v>
      </c>
      <c r="C30" s="35" t="s">
        <v>55</v>
      </c>
      <c r="D30" s="36" t="s">
        <v>702</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61</v>
      </c>
      <c r="B31" s="35" t="s">
        <v>62</v>
      </c>
      <c r="C31" s="35" t="s">
        <v>59</v>
      </c>
      <c r="D31" s="36" t="s">
        <v>63</v>
      </c>
      <c r="E31" s="38">
        <f>F31+I31</f>
        <v>768900</v>
      </c>
      <c r="F31" s="38">
        <f>226200+280500+262200</f>
        <v>768900</v>
      </c>
      <c r="G31" s="38"/>
      <c r="H31" s="38"/>
      <c r="I31" s="38"/>
      <c r="J31" s="38">
        <f>L31+O31</f>
        <v>0</v>
      </c>
      <c r="K31" s="38"/>
      <c r="L31" s="38"/>
      <c r="M31" s="38"/>
      <c r="N31" s="38"/>
      <c r="O31" s="38">
        <f t="shared" si="6"/>
        <v>0</v>
      </c>
      <c r="P31" s="23">
        <f t="shared" si="4"/>
        <v>768900</v>
      </c>
    </row>
    <row r="32" spans="1:17" ht="10.5" hidden="1" customHeight="1" x14ac:dyDescent="0.3">
      <c r="A32" s="34" t="s">
        <v>64</v>
      </c>
      <c r="B32" s="35" t="s">
        <v>65</v>
      </c>
      <c r="C32" s="35"/>
      <c r="D32" s="36" t="s">
        <v>66</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67</v>
      </c>
      <c r="B33" s="35" t="s">
        <v>68</v>
      </c>
      <c r="C33" s="35" t="s">
        <v>59</v>
      </c>
      <c r="D33" s="36" t="s">
        <v>69</v>
      </c>
      <c r="E33" s="38">
        <f t="shared" si="3"/>
        <v>0</v>
      </c>
      <c r="F33" s="38"/>
      <c r="G33" s="38"/>
      <c r="H33" s="38"/>
      <c r="I33" s="38"/>
      <c r="J33" s="38">
        <f t="shared" si="5"/>
        <v>0</v>
      </c>
      <c r="K33" s="38"/>
      <c r="L33" s="38"/>
      <c r="M33" s="38"/>
      <c r="N33" s="38"/>
      <c r="O33" s="38">
        <f t="shared" si="6"/>
        <v>0</v>
      </c>
      <c r="P33" s="23">
        <f t="shared" si="4"/>
        <v>0</v>
      </c>
    </row>
    <row r="34" spans="1:18" s="104" customFormat="1" ht="18" customHeight="1" x14ac:dyDescent="0.3">
      <c r="A34" s="99" t="s">
        <v>70</v>
      </c>
      <c r="B34" s="100" t="s">
        <v>71</v>
      </c>
      <c r="C34" s="100" t="s">
        <v>59</v>
      </c>
      <c r="D34" s="106" t="s">
        <v>72</v>
      </c>
      <c r="E34" s="102">
        <f t="shared" si="3"/>
        <v>6768840</v>
      </c>
      <c r="F34" s="102">
        <f>5103800-44960+610000+900000+200000</f>
        <v>6768840</v>
      </c>
      <c r="G34" s="102"/>
      <c r="H34" s="102"/>
      <c r="I34" s="102"/>
      <c r="J34" s="102">
        <f>L34+O34</f>
        <v>44960</v>
      </c>
      <c r="K34" s="102">
        <v>44960</v>
      </c>
      <c r="L34" s="102"/>
      <c r="M34" s="102"/>
      <c r="N34" s="102"/>
      <c r="O34" s="102">
        <f t="shared" si="6"/>
        <v>44960</v>
      </c>
      <c r="P34" s="103">
        <f t="shared" si="4"/>
        <v>6813800</v>
      </c>
    </row>
    <row r="35" spans="1:18" hidden="1" x14ac:dyDescent="0.3">
      <c r="A35" s="34" t="s">
        <v>73</v>
      </c>
      <c r="B35" s="51" t="s">
        <v>74</v>
      </c>
      <c r="C35" s="51" t="s">
        <v>75</v>
      </c>
      <c r="D35" s="56" t="s">
        <v>76</v>
      </c>
      <c r="E35" s="38">
        <f t="shared" si="3"/>
        <v>0</v>
      </c>
      <c r="F35" s="38"/>
      <c r="G35" s="38"/>
      <c r="H35" s="38"/>
      <c r="I35" s="38"/>
      <c r="J35" s="38">
        <f t="shared" si="5"/>
        <v>0</v>
      </c>
      <c r="K35" s="38"/>
      <c r="L35" s="38"/>
      <c r="M35" s="38"/>
      <c r="N35" s="38"/>
      <c r="O35" s="38"/>
      <c r="P35" s="23">
        <f t="shared" si="4"/>
        <v>0</v>
      </c>
    </row>
    <row r="36" spans="1:18" ht="34.5" customHeight="1" x14ac:dyDescent="0.3">
      <c r="A36" s="34" t="s">
        <v>77</v>
      </c>
      <c r="B36" s="35" t="s">
        <v>78</v>
      </c>
      <c r="C36" s="35" t="s">
        <v>79</v>
      </c>
      <c r="D36" s="56" t="s">
        <v>80</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81</v>
      </c>
      <c r="B37" s="35" t="s">
        <v>82</v>
      </c>
      <c r="C37" s="35" t="s">
        <v>83</v>
      </c>
      <c r="D37" s="56" t="s">
        <v>84</v>
      </c>
      <c r="E37" s="38">
        <f>F37+I37</f>
        <v>0</v>
      </c>
      <c r="F37" s="57"/>
      <c r="G37" s="57"/>
      <c r="H37" s="57"/>
      <c r="I37" s="57"/>
      <c r="J37" s="38">
        <f t="shared" si="5"/>
        <v>0</v>
      </c>
      <c r="K37" s="57"/>
      <c r="L37" s="57"/>
      <c r="M37" s="57"/>
      <c r="N37" s="57"/>
      <c r="O37" s="38"/>
      <c r="P37" s="23">
        <f t="shared" si="4"/>
        <v>0</v>
      </c>
    </row>
    <row r="38" spans="1:18" hidden="1" x14ac:dyDescent="0.3">
      <c r="A38" s="34" t="s">
        <v>85</v>
      </c>
      <c r="B38" s="35" t="s">
        <v>86</v>
      </c>
      <c r="C38" s="35"/>
      <c r="D38" s="56" t="s">
        <v>87</v>
      </c>
      <c r="E38" s="38"/>
      <c r="F38" s="57"/>
      <c r="G38" s="57"/>
      <c r="H38" s="57"/>
      <c r="I38" s="57"/>
      <c r="J38" s="38">
        <f t="shared" si="5"/>
        <v>0</v>
      </c>
      <c r="K38" s="57"/>
      <c r="L38" s="44"/>
      <c r="M38" s="44"/>
      <c r="N38" s="44"/>
      <c r="O38" s="44"/>
      <c r="P38" s="23">
        <f t="shared" si="4"/>
        <v>0</v>
      </c>
    </row>
    <row r="39" spans="1:18" ht="16.5" customHeight="1" x14ac:dyDescent="0.3">
      <c r="A39" s="34" t="s">
        <v>698</v>
      </c>
      <c r="B39" s="35" t="s">
        <v>694</v>
      </c>
      <c r="C39" s="35" t="s">
        <v>695</v>
      </c>
      <c r="D39" s="56" t="s">
        <v>696</v>
      </c>
      <c r="E39" s="38">
        <f>F39+I39</f>
        <v>50000000</v>
      </c>
      <c r="F39" s="44">
        <f>40000000-20000000+30000000</f>
        <v>50000000</v>
      </c>
      <c r="G39" s="57"/>
      <c r="H39" s="57"/>
      <c r="I39" s="57"/>
      <c r="J39" s="38">
        <f>L39+O39</f>
        <v>148334882</v>
      </c>
      <c r="K39" s="44">
        <f>40000000+20000000+90000000-65600000+29524290+8935575+1665118+19667422+5807595-1665118</f>
        <v>148334882</v>
      </c>
      <c r="L39" s="44"/>
      <c r="M39" s="44"/>
      <c r="N39" s="44"/>
      <c r="O39" s="38">
        <f t="shared" ref="O39" si="7">K39</f>
        <v>148334882</v>
      </c>
      <c r="P39" s="23">
        <f t="shared" si="4"/>
        <v>198334882</v>
      </c>
    </row>
    <row r="40" spans="1:18" hidden="1" x14ac:dyDescent="0.3">
      <c r="A40" s="34" t="s">
        <v>88</v>
      </c>
      <c r="B40" s="35" t="s">
        <v>89</v>
      </c>
      <c r="C40" s="35" t="s">
        <v>90</v>
      </c>
      <c r="D40" s="56" t="s">
        <v>91</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92</v>
      </c>
      <c r="E41" s="29"/>
      <c r="F41" s="58"/>
      <c r="G41" s="58"/>
      <c r="H41" s="58"/>
      <c r="I41" s="58"/>
      <c r="J41" s="29">
        <f>O41</f>
        <v>0</v>
      </c>
      <c r="K41" s="58"/>
      <c r="L41" s="59"/>
      <c r="M41" s="59"/>
      <c r="N41" s="59"/>
      <c r="O41" s="29"/>
      <c r="P41" s="23">
        <f t="shared" si="4"/>
        <v>0</v>
      </c>
    </row>
    <row r="42" spans="1:18" hidden="1" x14ac:dyDescent="0.3">
      <c r="A42" s="34" t="s">
        <v>93</v>
      </c>
      <c r="B42" s="35" t="s">
        <v>94</v>
      </c>
      <c r="C42" s="35" t="s">
        <v>95</v>
      </c>
      <c r="D42" s="47" t="s">
        <v>96</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91</v>
      </c>
      <c r="E43" s="38">
        <f>F43+I43</f>
        <v>0</v>
      </c>
      <c r="F43" s="29"/>
      <c r="G43" s="29"/>
      <c r="H43" s="29"/>
      <c r="I43" s="29"/>
      <c r="J43" s="38">
        <f t="shared" si="5"/>
        <v>0</v>
      </c>
      <c r="K43" s="29"/>
      <c r="L43" s="29"/>
      <c r="M43" s="29"/>
      <c r="N43" s="29"/>
      <c r="O43" s="38">
        <f>O32</f>
        <v>0</v>
      </c>
      <c r="P43" s="23">
        <f t="shared" si="4"/>
        <v>0</v>
      </c>
    </row>
    <row r="44" spans="1:18" s="104" customFormat="1" ht="18" customHeight="1" x14ac:dyDescent="0.3">
      <c r="A44" s="99" t="s">
        <v>97</v>
      </c>
      <c r="B44" s="100" t="s">
        <v>98</v>
      </c>
      <c r="C44" s="100" t="s">
        <v>99</v>
      </c>
      <c r="D44" s="101" t="s">
        <v>100</v>
      </c>
      <c r="E44" s="102">
        <f>F44+I44</f>
        <v>5570300</v>
      </c>
      <c r="F44" s="102">
        <f>2500000+1000000+2070300</f>
        <v>5570300</v>
      </c>
      <c r="G44" s="102"/>
      <c r="H44" s="102"/>
      <c r="I44" s="102"/>
      <c r="J44" s="102">
        <f t="shared" si="5"/>
        <v>0</v>
      </c>
      <c r="K44" s="102"/>
      <c r="L44" s="102"/>
      <c r="M44" s="102"/>
      <c r="N44" s="102"/>
      <c r="O44" s="102"/>
      <c r="P44" s="103">
        <f t="shared" si="4"/>
        <v>5570300</v>
      </c>
    </row>
    <row r="45" spans="1:18" ht="23.25" customHeight="1" x14ac:dyDescent="0.3">
      <c r="A45" s="19" t="s">
        <v>101</v>
      </c>
      <c r="B45" s="20"/>
      <c r="C45" s="21"/>
      <c r="D45" s="22" t="s">
        <v>102</v>
      </c>
      <c r="E45" s="57">
        <f>E54</f>
        <v>391256514</v>
      </c>
      <c r="F45" s="57">
        <f t="shared" ref="F45:O45" si="8">F54</f>
        <v>391256514</v>
      </c>
      <c r="G45" s="57">
        <f t="shared" si="8"/>
        <v>310723616</v>
      </c>
      <c r="H45" s="57">
        <f t="shared" si="8"/>
        <v>6140969</v>
      </c>
      <c r="I45" s="57"/>
      <c r="J45" s="57">
        <f t="shared" si="8"/>
        <v>500000</v>
      </c>
      <c r="K45" s="57">
        <f>K54</f>
        <v>500000</v>
      </c>
      <c r="L45" s="57">
        <f t="shared" si="8"/>
        <v>0</v>
      </c>
      <c r="M45" s="57">
        <f t="shared" si="8"/>
        <v>0</v>
      </c>
      <c r="N45" s="57">
        <f t="shared" si="8"/>
        <v>0</v>
      </c>
      <c r="O45" s="57">
        <f t="shared" si="8"/>
        <v>500000</v>
      </c>
      <c r="P45" s="57">
        <f>P54</f>
        <v>391756514</v>
      </c>
      <c r="Q45" s="62"/>
      <c r="R45" s="24"/>
    </row>
    <row r="46" spans="1:18" s="31" customFormat="1" ht="21" customHeight="1" x14ac:dyDescent="0.25">
      <c r="A46" s="41"/>
      <c r="B46" s="63"/>
      <c r="C46" s="42"/>
      <c r="D46" s="53" t="s">
        <v>103</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104</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105</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106</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107</v>
      </c>
      <c r="E50" s="29">
        <f>F50</f>
        <v>2680538</v>
      </c>
      <c r="F50" s="59">
        <f>F90</f>
        <v>2680538</v>
      </c>
      <c r="G50" s="59">
        <f>G90</f>
        <v>2197163</v>
      </c>
      <c r="H50" s="59"/>
      <c r="I50" s="59"/>
      <c r="J50" s="29"/>
      <c r="K50" s="59"/>
      <c r="L50" s="59"/>
      <c r="M50" s="59"/>
      <c r="N50" s="59"/>
      <c r="O50" s="59"/>
      <c r="P50" s="23">
        <f t="shared" si="9"/>
        <v>2680538</v>
      </c>
    </row>
    <row r="51" spans="1:17" s="31" customFormat="1" ht="39.6" hidden="1" x14ac:dyDescent="0.25">
      <c r="A51" s="41"/>
      <c r="B51" s="52"/>
      <c r="C51" s="52"/>
      <c r="D51" s="64" t="s">
        <v>108</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109</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110</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111</v>
      </c>
      <c r="B54" s="55"/>
      <c r="C54" s="21"/>
      <c r="D54" s="56" t="s">
        <v>102</v>
      </c>
      <c r="E54" s="57">
        <f>E55+E56+E60+E63+E72+E73+E78+E80+E84+E87+E89+E90+E95+E77+E97+E93+E91</f>
        <v>391256514</v>
      </c>
      <c r="F54" s="57">
        <f>F55+F56+F60+F63+F72+F73+F78+F80+F84+F87+F89+F90+F95+F77+F97+F93+F91</f>
        <v>391256514</v>
      </c>
      <c r="G54" s="57">
        <f>G55+G56+G60+G63+G72+G73+G78+G80+G84+G87+G89+G90+G95+G77+G97+G93+G91</f>
        <v>310723616</v>
      </c>
      <c r="H54" s="57">
        <f>H55+H56+H60+H63+H72+H73+H78+H80+H84+H87+H89+H90+H95</f>
        <v>6140969</v>
      </c>
      <c r="I54" s="57">
        <f>I55+I56+I60+I63+I72+I73+I78+I80+I84+I87+I89+I90+I95</f>
        <v>0</v>
      </c>
      <c r="J54" s="57">
        <f>J55+J56+J60+J63+J72+J73+J78+J80+J84+J87+J89+J90+J95+J77+J97+J92+J93+J91</f>
        <v>500000</v>
      </c>
      <c r="K54" s="57">
        <f>K55+K56+K60+K63+K72+K73+K78+K80+K84+K87+K89+K90+K95+K77+K97+K92+K93+K91</f>
        <v>500000</v>
      </c>
      <c r="L54" s="57">
        <f>L55+L56+L60+L63+L72+L73+L78+L80+L84+L87+L89+L90+L95+L77+L97+L92</f>
        <v>0</v>
      </c>
      <c r="M54" s="57">
        <f>M55+M56+M60+M63+M72+M73+M78+M80+M84+M87+M89+M90+M95+M77+M97+M92</f>
        <v>0</v>
      </c>
      <c r="N54" s="57">
        <f>N55+N56+N60+N63+N72+N73+N78+N80+N84+N87+N89+N90+N95+N77+N97+N92</f>
        <v>0</v>
      </c>
      <c r="O54" s="57">
        <f>O55+O56+O60+O63+O72+O73+O78+O80+O84+O87+O89+O90+O95+O77+O97+O92+O93+O91</f>
        <v>500000</v>
      </c>
      <c r="P54" s="57">
        <f>P55+P56+P60+P63+P72+P73+P78+P80+P84+P87+P89+P90+P95+P77+P97+P92+P93+P91</f>
        <v>391756514</v>
      </c>
    </row>
    <row r="55" spans="1:17" ht="26.4" x14ac:dyDescent="0.3">
      <c r="A55" s="34" t="s">
        <v>112</v>
      </c>
      <c r="B55" s="35" t="s">
        <v>31</v>
      </c>
      <c r="C55" s="35" t="s">
        <v>24</v>
      </c>
      <c r="D55" s="56" t="s">
        <v>113</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114</v>
      </c>
      <c r="B56" s="51" t="s">
        <v>115</v>
      </c>
      <c r="C56" s="51" t="s">
        <v>116</v>
      </c>
      <c r="D56" s="40" t="s">
        <v>117</v>
      </c>
      <c r="E56" s="38">
        <f>F56</f>
        <v>81227700</v>
      </c>
      <c r="F56" s="44">
        <f>97182700-1000000+45000-15000000</f>
        <v>81227700</v>
      </c>
      <c r="G56" s="44">
        <f>79734000-12295082</f>
        <v>67438918</v>
      </c>
      <c r="H56" s="44">
        <v>0</v>
      </c>
      <c r="I56" s="44"/>
      <c r="J56" s="38">
        <f t="shared" si="12"/>
        <v>0</v>
      </c>
      <c r="K56" s="44"/>
      <c r="L56" s="44"/>
      <c r="M56" s="44"/>
      <c r="N56" s="44"/>
      <c r="O56" s="44">
        <f t="shared" si="13"/>
        <v>0</v>
      </c>
      <c r="P56" s="23">
        <f t="shared" si="14"/>
        <v>81227700</v>
      </c>
      <c r="Q56" s="65"/>
    </row>
    <row r="57" spans="1:17" ht="39.6" hidden="1" x14ac:dyDescent="0.3">
      <c r="A57" s="34"/>
      <c r="B57" s="51"/>
      <c r="C57" s="51"/>
      <c r="D57" s="53" t="s">
        <v>109</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118</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52</v>
      </c>
      <c r="E59" s="38">
        <f>F59+I59</f>
        <v>0</v>
      </c>
      <c r="F59" s="59"/>
      <c r="G59" s="59"/>
      <c r="H59" s="59"/>
      <c r="I59" s="59"/>
      <c r="J59" s="38">
        <f t="shared" si="12"/>
        <v>0</v>
      </c>
      <c r="K59" s="59"/>
      <c r="L59" s="59"/>
      <c r="M59" s="59"/>
      <c r="N59" s="59"/>
      <c r="O59" s="44">
        <f t="shared" si="13"/>
        <v>0</v>
      </c>
      <c r="P59" s="23">
        <f t="shared" si="14"/>
        <v>0</v>
      </c>
    </row>
    <row r="60" spans="1:17" s="104" customFormat="1" ht="26.4" x14ac:dyDescent="0.3">
      <c r="A60" s="99" t="s">
        <v>119</v>
      </c>
      <c r="B60" s="105" t="s">
        <v>120</v>
      </c>
      <c r="C60" s="105" t="s">
        <v>121</v>
      </c>
      <c r="D60" s="106" t="s">
        <v>703</v>
      </c>
      <c r="E60" s="102">
        <f>F60</f>
        <v>26611224</v>
      </c>
      <c r="F60" s="107">
        <f>27020700+62800+4860919-1439750+211000-4104445</f>
        <v>26611224</v>
      </c>
      <c r="G60" s="107">
        <f>20063700-3485565</f>
        <v>16578135</v>
      </c>
      <c r="H60" s="107">
        <f>2300000+62800+4860919-1439750</f>
        <v>5783969</v>
      </c>
      <c r="I60" s="107"/>
      <c r="J60" s="108">
        <f>L60+O60</f>
        <v>26997</v>
      </c>
      <c r="K60" s="102">
        <f>27000-3</f>
        <v>26997</v>
      </c>
      <c r="L60" s="102"/>
      <c r="M60" s="102"/>
      <c r="N60" s="102"/>
      <c r="O60" s="107">
        <f t="shared" si="13"/>
        <v>26997</v>
      </c>
      <c r="P60" s="103">
        <f t="shared" si="14"/>
        <v>26638221</v>
      </c>
    </row>
    <row r="61" spans="1:17" ht="39.6" hidden="1" x14ac:dyDescent="0.3">
      <c r="A61" s="34"/>
      <c r="B61" s="51"/>
      <c r="C61" s="51"/>
      <c r="D61" s="53" t="s">
        <v>105</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52</v>
      </c>
      <c r="E62" s="29">
        <f>F62</f>
        <v>0</v>
      </c>
      <c r="F62" s="59"/>
      <c r="G62" s="44"/>
      <c r="H62" s="44"/>
      <c r="I62" s="44"/>
      <c r="J62" s="29">
        <f t="shared" si="12"/>
        <v>0</v>
      </c>
      <c r="K62" s="59"/>
      <c r="L62" s="59"/>
      <c r="M62" s="59"/>
      <c r="N62" s="59"/>
      <c r="O62" s="44">
        <f t="shared" si="13"/>
        <v>0</v>
      </c>
      <c r="P62" s="23">
        <f>E62+J62</f>
        <v>0</v>
      </c>
    </row>
    <row r="63" spans="1:17" ht="26.4" x14ac:dyDescent="0.3">
      <c r="A63" s="34" t="s">
        <v>122</v>
      </c>
      <c r="B63" s="51" t="s">
        <v>123</v>
      </c>
      <c r="C63" s="51" t="s">
        <v>121</v>
      </c>
      <c r="D63" s="36" t="s">
        <v>704</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124</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38</v>
      </c>
      <c r="C65" s="51" t="s">
        <v>121</v>
      </c>
      <c r="D65" s="40" t="s">
        <v>125</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126</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127</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104</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106</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103</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128</v>
      </c>
      <c r="B72" s="51" t="s">
        <v>129</v>
      </c>
      <c r="C72" s="51" t="s">
        <v>130</v>
      </c>
      <c r="D72" s="66" t="s">
        <v>131</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132</v>
      </c>
      <c r="B73" s="51" t="s">
        <v>133</v>
      </c>
      <c r="C73" s="51" t="s">
        <v>130</v>
      </c>
      <c r="D73" s="66" t="s">
        <v>131</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104</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109</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103</v>
      </c>
      <c r="E76" s="29">
        <f t="shared" si="15"/>
        <v>0</v>
      </c>
      <c r="F76" s="29"/>
      <c r="G76" s="29"/>
      <c r="H76" s="59"/>
      <c r="I76" s="59"/>
      <c r="J76" s="38">
        <f t="shared" si="12"/>
        <v>0</v>
      </c>
      <c r="K76" s="59"/>
      <c r="L76" s="59"/>
      <c r="M76" s="59"/>
      <c r="N76" s="59"/>
      <c r="O76" s="44"/>
      <c r="P76" s="30">
        <f t="shared" si="14"/>
        <v>0</v>
      </c>
    </row>
    <row r="77" spans="1:16" s="31" customFormat="1" ht="66" x14ac:dyDescent="0.25">
      <c r="A77" s="41" t="s">
        <v>714</v>
      </c>
      <c r="B77" s="52" t="s">
        <v>715</v>
      </c>
      <c r="C77" s="52" t="s">
        <v>121</v>
      </c>
      <c r="D77" s="67" t="s">
        <v>716</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135</v>
      </c>
      <c r="B78" s="51" t="s">
        <v>136</v>
      </c>
      <c r="C78" s="51" t="s">
        <v>137</v>
      </c>
      <c r="D78" s="36" t="s">
        <v>138</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8" t="s">
        <v>52</v>
      </c>
      <c r="E79" s="29">
        <f t="shared" si="15"/>
        <v>0</v>
      </c>
      <c r="F79" s="59"/>
      <c r="G79" s="59"/>
      <c r="H79" s="59"/>
      <c r="I79" s="59"/>
      <c r="J79" s="38">
        <f>L79+O79</f>
        <v>0</v>
      </c>
      <c r="K79" s="59"/>
      <c r="L79" s="59"/>
      <c r="M79" s="59"/>
      <c r="N79" s="59"/>
      <c r="O79" s="59"/>
      <c r="P79" s="30">
        <f>E79+J79</f>
        <v>0</v>
      </c>
    </row>
    <row r="80" spans="1:16" ht="30.75" customHeight="1" x14ac:dyDescent="0.3">
      <c r="A80" s="34" t="s">
        <v>139</v>
      </c>
      <c r="B80" s="51" t="s">
        <v>140</v>
      </c>
      <c r="C80" s="51" t="s">
        <v>141</v>
      </c>
      <c r="D80" s="40" t="s">
        <v>142</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143</v>
      </c>
      <c r="C81" s="51" t="s">
        <v>141</v>
      </c>
      <c r="D81" s="36" t="s">
        <v>144</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145</v>
      </c>
      <c r="C82" s="51" t="s">
        <v>141</v>
      </c>
      <c r="D82" s="36" t="s">
        <v>146</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139</v>
      </c>
      <c r="B83" s="51" t="s">
        <v>140</v>
      </c>
      <c r="C83" s="51"/>
      <c r="D83" s="69" t="s">
        <v>147</v>
      </c>
      <c r="E83" s="38">
        <f t="shared" si="15"/>
        <v>0</v>
      </c>
      <c r="F83" s="44"/>
      <c r="G83" s="44"/>
      <c r="H83" s="44"/>
      <c r="I83" s="44"/>
      <c r="J83" s="38">
        <f t="shared" si="12"/>
        <v>0</v>
      </c>
      <c r="K83" s="44"/>
      <c r="L83" s="44"/>
      <c r="M83" s="44"/>
      <c r="N83" s="44"/>
      <c r="O83" s="44">
        <f t="shared" si="13"/>
        <v>0</v>
      </c>
      <c r="P83" s="23">
        <f t="shared" si="14"/>
        <v>0</v>
      </c>
    </row>
    <row r="84" spans="1:16" ht="28.5" customHeight="1" x14ac:dyDescent="0.3">
      <c r="A84" s="34" t="s">
        <v>148</v>
      </c>
      <c r="B84" s="51" t="s">
        <v>149</v>
      </c>
      <c r="C84" s="51" t="s">
        <v>141</v>
      </c>
      <c r="D84" s="69" t="s">
        <v>150</v>
      </c>
      <c r="E84" s="38">
        <f t="shared" si="15"/>
        <v>17992550</v>
      </c>
      <c r="F84" s="44">
        <f>15197800+611000+1000000+1183750</f>
        <v>17992550</v>
      </c>
      <c r="G84" s="44">
        <f>11760000+400000</f>
        <v>12160000</v>
      </c>
      <c r="H84" s="44">
        <f>100000+40000+217000</f>
        <v>357000</v>
      </c>
      <c r="I84" s="44"/>
      <c r="J84" s="38">
        <f t="shared" si="12"/>
        <v>393003</v>
      </c>
      <c r="K84" s="44">
        <f>420000-27000+3</f>
        <v>393003</v>
      </c>
      <c r="L84" s="44"/>
      <c r="M84" s="44"/>
      <c r="N84" s="44"/>
      <c r="O84" s="44">
        <f>K84</f>
        <v>393003</v>
      </c>
      <c r="P84" s="23">
        <f t="shared" si="14"/>
        <v>18385553</v>
      </c>
    </row>
    <row r="85" spans="1:16" hidden="1" x14ac:dyDescent="0.3">
      <c r="A85" s="34"/>
      <c r="B85" s="51"/>
      <c r="C85" s="51"/>
      <c r="D85" s="69" t="s">
        <v>151</v>
      </c>
      <c r="E85" s="38">
        <f t="shared" si="15"/>
        <v>0</v>
      </c>
      <c r="F85" s="44"/>
      <c r="G85" s="44"/>
      <c r="H85" s="44"/>
      <c r="I85" s="44"/>
      <c r="J85" s="38"/>
      <c r="K85" s="44"/>
      <c r="L85" s="44"/>
      <c r="M85" s="44"/>
      <c r="N85" s="44"/>
      <c r="O85" s="44">
        <f t="shared" si="13"/>
        <v>0</v>
      </c>
      <c r="P85" s="23"/>
    </row>
    <row r="86" spans="1:16" ht="39.6" hidden="1" x14ac:dyDescent="0.3">
      <c r="A86" s="34"/>
      <c r="B86" s="51"/>
      <c r="C86" s="51"/>
      <c r="D86" s="69" t="s">
        <v>109</v>
      </c>
      <c r="E86" s="38">
        <f t="shared" si="15"/>
        <v>0</v>
      </c>
      <c r="F86" s="44"/>
      <c r="G86" s="44"/>
      <c r="H86" s="44"/>
      <c r="I86" s="44"/>
      <c r="J86" s="38">
        <f t="shared" si="12"/>
        <v>0</v>
      </c>
      <c r="K86" s="44"/>
      <c r="L86" s="44"/>
      <c r="M86" s="44"/>
      <c r="N86" s="44"/>
      <c r="O86" s="44">
        <f t="shared" si="13"/>
        <v>0</v>
      </c>
      <c r="P86" s="23">
        <f t="shared" si="14"/>
        <v>0</v>
      </c>
    </row>
    <row r="87" spans="1:16" x14ac:dyDescent="0.3">
      <c r="A87" s="34" t="s">
        <v>152</v>
      </c>
      <c r="B87" s="51" t="s">
        <v>153</v>
      </c>
      <c r="C87" s="51" t="s">
        <v>141</v>
      </c>
      <c r="D87" s="69" t="s">
        <v>154</v>
      </c>
      <c r="E87" s="38">
        <f t="shared" si="15"/>
        <v>3620350</v>
      </c>
      <c r="F87" s="44">
        <f>877700+2742650</f>
        <v>3620350</v>
      </c>
      <c r="G87" s="44"/>
      <c r="H87" s="44"/>
      <c r="I87" s="44"/>
      <c r="J87" s="38">
        <f t="shared" si="12"/>
        <v>0</v>
      </c>
      <c r="K87" s="44">
        <v>0</v>
      </c>
      <c r="L87" s="44"/>
      <c r="M87" s="44"/>
      <c r="N87" s="44"/>
      <c r="O87" s="44">
        <f t="shared" si="13"/>
        <v>0</v>
      </c>
      <c r="P87" s="23">
        <f t="shared" si="14"/>
        <v>3620350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155</v>
      </c>
      <c r="B89" s="51" t="s">
        <v>156</v>
      </c>
      <c r="C89" s="51" t="s">
        <v>141</v>
      </c>
      <c r="D89" s="56" t="s">
        <v>157</v>
      </c>
      <c r="E89" s="38">
        <f t="shared" si="15"/>
        <v>245500</v>
      </c>
      <c r="F89" s="38">
        <v>245500</v>
      </c>
      <c r="G89" s="38">
        <v>200000</v>
      </c>
      <c r="H89" s="44"/>
      <c r="I89" s="44"/>
      <c r="J89" s="38"/>
      <c r="K89" s="44"/>
      <c r="L89" s="44"/>
      <c r="M89" s="44"/>
      <c r="N89" s="44"/>
      <c r="O89" s="44"/>
      <c r="P89" s="23">
        <f t="shared" si="14"/>
        <v>245500</v>
      </c>
    </row>
    <row r="90" spans="1:16" s="113" customFormat="1" ht="33.75" customHeight="1" x14ac:dyDescent="0.25">
      <c r="A90" s="109" t="s">
        <v>158</v>
      </c>
      <c r="B90" s="110" t="s">
        <v>159</v>
      </c>
      <c r="C90" s="110" t="s">
        <v>141</v>
      </c>
      <c r="D90" s="111" t="s">
        <v>160</v>
      </c>
      <c r="E90" s="102">
        <f t="shared" si="15"/>
        <v>2680538</v>
      </c>
      <c r="F90" s="112">
        <f>2585663-426370+521245</f>
        <v>2680538</v>
      </c>
      <c r="G90" s="131">
        <f>2119400-349487+427250</f>
        <v>2197163</v>
      </c>
      <c r="H90" s="112"/>
      <c r="I90" s="112"/>
      <c r="J90" s="102">
        <f t="shared" si="12"/>
        <v>0</v>
      </c>
      <c r="K90" s="112"/>
      <c r="L90" s="112"/>
      <c r="M90" s="112"/>
      <c r="N90" s="112"/>
      <c r="O90" s="107">
        <f t="shared" si="16"/>
        <v>0</v>
      </c>
      <c r="P90" s="103">
        <f t="shared" si="14"/>
        <v>2680538</v>
      </c>
    </row>
    <row r="91" spans="1:16" s="31" customFormat="1" ht="52.8" hidden="1" x14ac:dyDescent="0.25">
      <c r="A91" s="41" t="s">
        <v>161</v>
      </c>
      <c r="B91" s="52" t="s">
        <v>162</v>
      </c>
      <c r="C91" s="52" t="s">
        <v>141</v>
      </c>
      <c r="D91" s="56" t="s">
        <v>163</v>
      </c>
      <c r="E91" s="38">
        <f t="shared" si="15"/>
        <v>0</v>
      </c>
      <c r="F91" s="59"/>
      <c r="G91" s="59"/>
      <c r="H91" s="59"/>
      <c r="I91" s="59"/>
      <c r="J91" s="38">
        <f>L91+O91</f>
        <v>0</v>
      </c>
      <c r="K91" s="59"/>
      <c r="L91" s="59"/>
      <c r="M91" s="59"/>
      <c r="N91" s="59"/>
      <c r="O91" s="44"/>
      <c r="P91" s="23">
        <f t="shared" si="14"/>
        <v>0</v>
      </c>
    </row>
    <row r="92" spans="1:16" ht="39.6" hidden="1" x14ac:dyDescent="0.3">
      <c r="A92" s="34" t="s">
        <v>164</v>
      </c>
      <c r="B92" s="51" t="s">
        <v>165</v>
      </c>
      <c r="C92" s="51" t="s">
        <v>141</v>
      </c>
      <c r="D92" s="40" t="s">
        <v>166</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167</v>
      </c>
      <c r="B93" s="51" t="s">
        <v>168</v>
      </c>
      <c r="C93" s="51" t="s">
        <v>141</v>
      </c>
      <c r="D93" s="40" t="s">
        <v>169</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70" t="s">
        <v>170</v>
      </c>
      <c r="E94" s="38">
        <f t="shared" si="15"/>
        <v>0</v>
      </c>
      <c r="F94" s="59"/>
      <c r="G94" s="59"/>
      <c r="H94" s="59"/>
      <c r="I94" s="59"/>
      <c r="J94" s="38">
        <f t="shared" si="12"/>
        <v>0</v>
      </c>
      <c r="K94" s="59"/>
      <c r="L94" s="59"/>
      <c r="M94" s="59"/>
      <c r="N94" s="59"/>
      <c r="O94" s="44">
        <f t="shared" si="16"/>
        <v>0</v>
      </c>
      <c r="P94" s="23">
        <f t="shared" si="14"/>
        <v>0</v>
      </c>
    </row>
    <row r="95" spans="1:16" ht="26.4" hidden="1" x14ac:dyDescent="0.3">
      <c r="A95" s="34" t="s">
        <v>171</v>
      </c>
      <c r="B95" s="51" t="s">
        <v>145</v>
      </c>
      <c r="C95" s="35" t="s">
        <v>141</v>
      </c>
      <c r="D95" s="48" t="s">
        <v>172</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109</v>
      </c>
      <c r="E96" s="29">
        <f t="shared" si="15"/>
        <v>0</v>
      </c>
      <c r="F96" s="44"/>
      <c r="G96" s="44"/>
      <c r="H96" s="59"/>
      <c r="I96" s="59"/>
      <c r="J96" s="38">
        <f>K96</f>
        <v>0</v>
      </c>
      <c r="K96" s="59"/>
      <c r="L96" s="59"/>
      <c r="M96" s="59"/>
      <c r="N96" s="59"/>
      <c r="O96" s="44">
        <f>K96</f>
        <v>0</v>
      </c>
      <c r="P96" s="23">
        <f>E96+J96</f>
        <v>0</v>
      </c>
    </row>
    <row r="97" spans="1:18" ht="39.6" x14ac:dyDescent="0.3">
      <c r="A97" s="34" t="s">
        <v>173</v>
      </c>
      <c r="B97" s="51" t="s">
        <v>174</v>
      </c>
      <c r="C97" s="35" t="s">
        <v>141</v>
      </c>
      <c r="D97" s="71" t="s">
        <v>175</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110</v>
      </c>
      <c r="E98" s="29">
        <f t="shared" si="15"/>
        <v>500000</v>
      </c>
      <c r="F98" s="29">
        <v>500000</v>
      </c>
      <c r="G98" s="29">
        <v>409830</v>
      </c>
      <c r="H98" s="59"/>
      <c r="I98" s="59"/>
      <c r="J98" s="38">
        <f>K98</f>
        <v>0</v>
      </c>
      <c r="K98" s="59"/>
      <c r="L98" s="59"/>
      <c r="M98" s="59"/>
      <c r="N98" s="59"/>
      <c r="O98" s="44">
        <f>K98</f>
        <v>0</v>
      </c>
      <c r="P98" s="23">
        <f>E98+J98</f>
        <v>500000</v>
      </c>
    </row>
    <row r="99" spans="1:18" x14ac:dyDescent="0.3">
      <c r="A99" s="19" t="s">
        <v>176</v>
      </c>
      <c r="B99" s="20"/>
      <c r="C99" s="21"/>
      <c r="D99" s="22" t="s">
        <v>177</v>
      </c>
      <c r="E99" s="57">
        <f>E108</f>
        <v>13011435</v>
      </c>
      <c r="F99" s="57">
        <f t="shared" ref="F99:O99" si="17">F108</f>
        <v>13011435</v>
      </c>
      <c r="G99" s="57">
        <f t="shared" si="17"/>
        <v>2374000</v>
      </c>
      <c r="H99" s="57">
        <f t="shared" si="17"/>
        <v>0</v>
      </c>
      <c r="I99" s="57">
        <f t="shared" si="17"/>
        <v>0</v>
      </c>
      <c r="J99" s="57">
        <f t="shared" si="17"/>
        <v>1172110</v>
      </c>
      <c r="K99" s="57">
        <f>K108</f>
        <v>1172110</v>
      </c>
      <c r="L99" s="57">
        <f t="shared" si="17"/>
        <v>0</v>
      </c>
      <c r="M99" s="57">
        <f t="shared" si="17"/>
        <v>0</v>
      </c>
      <c r="N99" s="57">
        <f t="shared" si="17"/>
        <v>0</v>
      </c>
      <c r="O99" s="57">
        <f t="shared" si="17"/>
        <v>1172110</v>
      </c>
      <c r="P99" s="23">
        <f>E99+J99</f>
        <v>14183545</v>
      </c>
      <c r="Q99" s="62"/>
      <c r="R99" s="24"/>
    </row>
    <row r="100" spans="1:18" s="31" customFormat="1" ht="13.2" hidden="1" x14ac:dyDescent="0.25">
      <c r="A100" s="41"/>
      <c r="B100" s="63"/>
      <c r="C100" s="42"/>
      <c r="D100" s="53" t="s">
        <v>178</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179</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26.4" hidden="1" x14ac:dyDescent="0.25">
      <c r="A102" s="41"/>
      <c r="B102" s="63"/>
      <c r="C102" s="42"/>
      <c r="D102" s="53" t="s">
        <v>180</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52</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26.4" hidden="1" x14ac:dyDescent="0.25">
      <c r="A104" s="41"/>
      <c r="B104" s="63"/>
      <c r="C104" s="42"/>
      <c r="D104" s="68" t="s">
        <v>181</v>
      </c>
      <c r="E104" s="29">
        <f>F104</f>
        <v>0</v>
      </c>
      <c r="F104" s="29">
        <f>F137+F114</f>
        <v>0</v>
      </c>
      <c r="G104" s="29"/>
      <c r="H104" s="29"/>
      <c r="I104" s="29"/>
      <c r="J104" s="29"/>
      <c r="K104" s="59"/>
      <c r="L104" s="59"/>
      <c r="M104" s="59"/>
      <c r="N104" s="59"/>
      <c r="O104" s="59"/>
      <c r="P104" s="30">
        <f t="shared" si="14"/>
        <v>0</v>
      </c>
    </row>
    <row r="105" spans="1:18" s="31" customFormat="1" ht="26.4" hidden="1" x14ac:dyDescent="0.25">
      <c r="A105" s="41"/>
      <c r="B105" s="63"/>
      <c r="C105" s="42"/>
      <c r="D105" s="68" t="s">
        <v>182</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8" t="s">
        <v>183</v>
      </c>
      <c r="E106" s="29">
        <f>F106</f>
        <v>0</v>
      </c>
      <c r="F106" s="29">
        <f>F115+F121+F125+F139</f>
        <v>0</v>
      </c>
      <c r="G106" s="29"/>
      <c r="H106" s="29"/>
      <c r="I106" s="29"/>
      <c r="J106" s="29">
        <f>J148</f>
        <v>0</v>
      </c>
      <c r="K106" s="59"/>
      <c r="L106" s="59"/>
      <c r="M106" s="59"/>
      <c r="N106" s="59"/>
      <c r="O106" s="59"/>
      <c r="P106" s="30">
        <f t="shared" si="14"/>
        <v>0</v>
      </c>
    </row>
    <row r="107" spans="1:18" s="31" customFormat="1" ht="26.4" hidden="1" x14ac:dyDescent="0.25">
      <c r="A107" s="41"/>
      <c r="B107" s="63"/>
      <c r="C107" s="42"/>
      <c r="D107" s="53" t="s">
        <v>184</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185</v>
      </c>
      <c r="B108" s="63"/>
      <c r="C108" s="42"/>
      <c r="D108" s="28" t="s">
        <v>177</v>
      </c>
      <c r="E108" s="59">
        <f>E109+E110+E116+E122+E126+E134+E143+E149+E144+E145+E127+E136+E152</f>
        <v>13011435</v>
      </c>
      <c r="F108" s="59">
        <f>F109+F110+F116+F122+F126+F134+F143+F149+F144+F145+F127+F136+F152</f>
        <v>13011435</v>
      </c>
      <c r="G108" s="59">
        <f>G109+G110+G116+G122+G126+G134+G143+G149+G144+G145+G127</f>
        <v>2374000</v>
      </c>
      <c r="H108" s="59">
        <f>H109+H110+H116+H122+H126+H134+H143+H149+H144+H145+H127</f>
        <v>0</v>
      </c>
      <c r="I108" s="59">
        <f>I109+I110+I116+I122+I126+I134+I143+I149+I144+I145+I127</f>
        <v>0</v>
      </c>
      <c r="J108" s="59">
        <f>J109+J110+J116+J122+J126+J134+J143+J149+J144+J127+J145</f>
        <v>1172110</v>
      </c>
      <c r="K108" s="59">
        <f>K109+K110+K116+K122+K126+K134+K143+K149+K154+K127+K144+K145</f>
        <v>1172110</v>
      </c>
      <c r="L108" s="59">
        <f>L109+L110+L116+L122+L126+L134+L143+L149+L144+L127</f>
        <v>0</v>
      </c>
      <c r="M108" s="59">
        <f>M109+M110+M116+M122+M126+M134+M143+M149</f>
        <v>0</v>
      </c>
      <c r="N108" s="59">
        <f>N109+N110+N116+N122+N126+N134+N143+N149</f>
        <v>0</v>
      </c>
      <c r="O108" s="59">
        <f>O109+O110+O116+O136+O127+O144+O154+O145</f>
        <v>1172110</v>
      </c>
      <c r="P108" s="59">
        <f>P109+P110+P116+P122+P126+P134+P143+P149+P136+P144+P145+P127+P152</f>
        <v>14183545</v>
      </c>
    </row>
    <row r="109" spans="1:18" s="104" customFormat="1" ht="35.25" customHeight="1" x14ac:dyDescent="0.3">
      <c r="A109" s="99" t="s">
        <v>186</v>
      </c>
      <c r="B109" s="100" t="s">
        <v>31</v>
      </c>
      <c r="C109" s="100" t="s">
        <v>24</v>
      </c>
      <c r="D109" s="111" t="s">
        <v>113</v>
      </c>
      <c r="E109" s="102">
        <f t="shared" ref="E109:E146" si="18">F109+I109</f>
        <v>2938000</v>
      </c>
      <c r="F109" s="107">
        <f>2262450+575550+100000</f>
        <v>2938000</v>
      </c>
      <c r="G109" s="107">
        <f>1608500+471500+294000</f>
        <v>2374000</v>
      </c>
      <c r="H109" s="107">
        <v>0</v>
      </c>
      <c r="I109" s="107"/>
      <c r="J109" s="102">
        <f t="shared" ref="J109:J155" si="19">L109+O109</f>
        <v>0</v>
      </c>
      <c r="K109" s="107">
        <f>100000-100000</f>
        <v>0</v>
      </c>
      <c r="L109" s="107"/>
      <c r="M109" s="107"/>
      <c r="N109" s="107"/>
      <c r="O109" s="107">
        <f t="shared" ref="O109:O144" si="20">SUM(K109)</f>
        <v>0</v>
      </c>
      <c r="P109" s="103">
        <f>E109+J109</f>
        <v>2938000</v>
      </c>
    </row>
    <row r="110" spans="1:18" ht="0.6" hidden="1" customHeight="1" x14ac:dyDescent="0.3">
      <c r="A110" s="34" t="s">
        <v>187</v>
      </c>
      <c r="B110" s="35" t="s">
        <v>188</v>
      </c>
      <c r="C110" s="35" t="s">
        <v>189</v>
      </c>
      <c r="D110" s="40" t="s">
        <v>190</v>
      </c>
      <c r="E110" s="38">
        <f t="shared" si="18"/>
        <v>0</v>
      </c>
      <c r="F110" s="44"/>
      <c r="G110" s="44"/>
      <c r="H110" s="44"/>
      <c r="I110" s="44"/>
      <c r="J110" s="38">
        <f t="shared" si="19"/>
        <v>0</v>
      </c>
      <c r="K110" s="44">
        <v>0</v>
      </c>
      <c r="L110" s="44"/>
      <c r="M110" s="44"/>
      <c r="N110" s="44"/>
      <c r="O110" s="44">
        <f t="shared" si="20"/>
        <v>0</v>
      </c>
      <c r="P110" s="23">
        <f t="shared" si="14"/>
        <v>0</v>
      </c>
    </row>
    <row r="111" spans="1:18" hidden="1" x14ac:dyDescent="0.3">
      <c r="A111" s="34"/>
      <c r="B111" s="35"/>
      <c r="C111" s="35"/>
      <c r="D111" s="53" t="s">
        <v>178</v>
      </c>
      <c r="E111" s="29">
        <f t="shared" si="18"/>
        <v>0</v>
      </c>
      <c r="F111" s="59"/>
      <c r="G111" s="44"/>
      <c r="H111" s="44"/>
      <c r="I111" s="44"/>
      <c r="J111" s="38">
        <f t="shared" si="19"/>
        <v>0</v>
      </c>
      <c r="K111" s="44"/>
      <c r="L111" s="44"/>
      <c r="M111" s="44"/>
      <c r="N111" s="44"/>
      <c r="O111" s="44">
        <f t="shared" si="20"/>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52</v>
      </c>
      <c r="E113" s="38">
        <f t="shared" si="18"/>
        <v>0</v>
      </c>
      <c r="F113" s="59"/>
      <c r="G113" s="44"/>
      <c r="H113" s="44"/>
      <c r="I113" s="44"/>
      <c r="J113" s="38">
        <f t="shared" si="19"/>
        <v>0</v>
      </c>
      <c r="K113" s="44"/>
      <c r="L113" s="44"/>
      <c r="M113" s="44"/>
      <c r="N113" s="44"/>
      <c r="O113" s="44">
        <f t="shared" si="20"/>
        <v>0</v>
      </c>
      <c r="P113" s="30">
        <f t="shared" si="14"/>
        <v>0</v>
      </c>
    </row>
    <row r="114" spans="1:16" ht="26.4" hidden="1" x14ac:dyDescent="0.3">
      <c r="A114" s="34"/>
      <c r="B114" s="35"/>
      <c r="C114" s="35"/>
      <c r="D114" s="53" t="s">
        <v>181</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8" t="s">
        <v>191</v>
      </c>
      <c r="E115" s="29">
        <f t="shared" si="18"/>
        <v>0</v>
      </c>
      <c r="F115" s="59"/>
      <c r="G115" s="44"/>
      <c r="H115" s="44"/>
      <c r="I115" s="44"/>
      <c r="J115" s="29">
        <f t="shared" si="19"/>
        <v>0</v>
      </c>
      <c r="K115" s="59"/>
      <c r="L115" s="44"/>
      <c r="M115" s="44"/>
      <c r="N115" s="44"/>
      <c r="O115" s="44">
        <f t="shared" si="20"/>
        <v>0</v>
      </c>
      <c r="P115" s="23">
        <f t="shared" si="14"/>
        <v>0</v>
      </c>
    </row>
    <row r="116" spans="1:16" hidden="1" x14ac:dyDescent="0.3">
      <c r="A116" s="34" t="s">
        <v>192</v>
      </c>
      <c r="B116" s="35" t="s">
        <v>193</v>
      </c>
      <c r="C116" s="35" t="s">
        <v>194</v>
      </c>
      <c r="D116" s="72" t="s">
        <v>195</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178</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196</v>
      </c>
      <c r="B118" s="35" t="s">
        <v>197</v>
      </c>
      <c r="C118" s="35" t="s">
        <v>198</v>
      </c>
      <c r="D118" s="40" t="s">
        <v>199</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178</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179</v>
      </c>
      <c r="E120" s="38"/>
      <c r="F120" s="44"/>
      <c r="G120" s="44"/>
      <c r="H120" s="44"/>
      <c r="I120" s="44"/>
      <c r="J120" s="29">
        <f t="shared" si="19"/>
        <v>0</v>
      </c>
      <c r="K120" s="59"/>
      <c r="L120" s="44"/>
      <c r="M120" s="44"/>
      <c r="N120" s="44"/>
      <c r="O120" s="44">
        <f t="shared" si="20"/>
        <v>0</v>
      </c>
      <c r="P120" s="23">
        <f t="shared" si="14"/>
        <v>0</v>
      </c>
    </row>
    <row r="121" spans="1:16" ht="26.4" hidden="1" x14ac:dyDescent="0.3">
      <c r="A121" s="34"/>
      <c r="B121" s="35"/>
      <c r="C121" s="35"/>
      <c r="D121" s="68" t="s">
        <v>191</v>
      </c>
      <c r="E121" s="29">
        <f>F121</f>
        <v>0</v>
      </c>
      <c r="F121" s="59"/>
      <c r="G121" s="44"/>
      <c r="H121" s="44"/>
      <c r="I121" s="44"/>
      <c r="J121" s="29"/>
      <c r="K121" s="59"/>
      <c r="L121" s="44"/>
      <c r="M121" s="44"/>
      <c r="N121" s="44"/>
      <c r="O121" s="44">
        <f t="shared" si="20"/>
        <v>0</v>
      </c>
      <c r="P121" s="23">
        <f t="shared" si="14"/>
        <v>0</v>
      </c>
    </row>
    <row r="122" spans="1:16" ht="15.6" hidden="1" x14ac:dyDescent="0.3">
      <c r="A122" s="34" t="s">
        <v>200</v>
      </c>
      <c r="B122" s="35" t="s">
        <v>201</v>
      </c>
      <c r="C122" s="35" t="s">
        <v>198</v>
      </c>
      <c r="D122" s="73" t="s">
        <v>202</v>
      </c>
      <c r="E122" s="38">
        <f>F122+I122</f>
        <v>0</v>
      </c>
      <c r="F122" s="44"/>
      <c r="G122" s="44"/>
      <c r="H122" s="44"/>
      <c r="I122" s="44"/>
      <c r="J122" s="38">
        <f t="shared" si="19"/>
        <v>0</v>
      </c>
      <c r="K122" s="44"/>
      <c r="L122" s="44"/>
      <c r="M122" s="44"/>
      <c r="N122" s="44"/>
      <c r="O122" s="44">
        <f t="shared" si="20"/>
        <v>0</v>
      </c>
      <c r="P122" s="23">
        <f t="shared" si="14"/>
        <v>0</v>
      </c>
    </row>
    <row r="123" spans="1:16" s="31" customFormat="1" ht="13.2" hidden="1" x14ac:dyDescent="0.25">
      <c r="A123" s="41"/>
      <c r="B123" s="42"/>
      <c r="C123" s="42"/>
      <c r="D123" s="53" t="s">
        <v>178</v>
      </c>
      <c r="E123" s="29">
        <f>F123</f>
        <v>0</v>
      </c>
      <c r="F123" s="59"/>
      <c r="G123" s="59"/>
      <c r="H123" s="59"/>
      <c r="I123" s="59"/>
      <c r="J123" s="29">
        <f t="shared" si="19"/>
        <v>0</v>
      </c>
      <c r="K123" s="59"/>
      <c r="L123" s="59"/>
      <c r="M123" s="59"/>
      <c r="N123" s="59"/>
      <c r="O123" s="44">
        <f t="shared" si="20"/>
        <v>0</v>
      </c>
      <c r="P123" s="23">
        <f>E123</f>
        <v>0</v>
      </c>
    </row>
    <row r="124" spans="1:16" s="31" customFormat="1" ht="26.4" hidden="1" x14ac:dyDescent="0.25">
      <c r="A124" s="41"/>
      <c r="B124" s="42"/>
      <c r="C124" s="42"/>
      <c r="D124" s="53" t="s">
        <v>179</v>
      </c>
      <c r="E124" s="29">
        <f>F124</f>
        <v>0</v>
      </c>
      <c r="F124" s="59"/>
      <c r="G124" s="59"/>
      <c r="H124" s="59"/>
      <c r="I124" s="59"/>
      <c r="J124" s="29">
        <f t="shared" si="19"/>
        <v>0</v>
      </c>
      <c r="K124" s="59"/>
      <c r="L124" s="59"/>
      <c r="M124" s="59"/>
      <c r="N124" s="59"/>
      <c r="O124" s="44">
        <f t="shared" si="20"/>
        <v>0</v>
      </c>
      <c r="P124" s="23">
        <f t="shared" si="14"/>
        <v>0</v>
      </c>
    </row>
    <row r="125" spans="1:16" s="31" customFormat="1" ht="26.4" hidden="1" x14ac:dyDescent="0.25">
      <c r="A125" s="41"/>
      <c r="B125" s="42"/>
      <c r="C125" s="42"/>
      <c r="D125" s="68" t="s">
        <v>191</v>
      </c>
      <c r="E125" s="29">
        <f>F125</f>
        <v>0</v>
      </c>
      <c r="F125" s="59"/>
      <c r="G125" s="59"/>
      <c r="H125" s="59"/>
      <c r="I125" s="59"/>
      <c r="J125" s="29"/>
      <c r="K125" s="59"/>
      <c r="L125" s="59"/>
      <c r="M125" s="59"/>
      <c r="N125" s="59"/>
      <c r="O125" s="44">
        <f t="shared" si="20"/>
        <v>0</v>
      </c>
      <c r="P125" s="23">
        <f>E125</f>
        <v>0</v>
      </c>
    </row>
    <row r="126" spans="1:16" hidden="1" x14ac:dyDescent="0.3">
      <c r="A126" s="34" t="s">
        <v>203</v>
      </c>
      <c r="B126" s="35" t="s">
        <v>204</v>
      </c>
      <c r="C126" s="35"/>
      <c r="D126" s="56" t="s">
        <v>205</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206</v>
      </c>
      <c r="B127" s="35" t="s">
        <v>207</v>
      </c>
      <c r="C127" s="35" t="s">
        <v>208</v>
      </c>
      <c r="D127" s="56" t="s">
        <v>209</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52</v>
      </c>
      <c r="E128" s="29">
        <f t="shared" si="21"/>
        <v>0</v>
      </c>
      <c r="F128" s="44"/>
      <c r="G128" s="44"/>
      <c r="H128" s="44"/>
      <c r="I128" s="44"/>
      <c r="J128" s="29">
        <f>L128+O128</f>
        <v>0</v>
      </c>
      <c r="K128" s="44"/>
      <c r="L128" s="44"/>
      <c r="M128" s="44"/>
      <c r="N128" s="44"/>
      <c r="O128" s="44">
        <f t="shared" si="20"/>
        <v>0</v>
      </c>
      <c r="P128" s="23">
        <f t="shared" si="22"/>
        <v>0</v>
      </c>
    </row>
    <row r="129" spans="1:16" ht="26.4" hidden="1" x14ac:dyDescent="0.3">
      <c r="A129" s="34"/>
      <c r="B129" s="35"/>
      <c r="C129" s="35"/>
      <c r="D129" s="53" t="s">
        <v>210</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178</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179</v>
      </c>
      <c r="E131" s="29">
        <f t="shared" si="21"/>
        <v>0</v>
      </c>
      <c r="F131" s="59"/>
      <c r="G131" s="59"/>
      <c r="H131" s="59"/>
      <c r="I131" s="59"/>
      <c r="J131" s="38">
        <f t="shared" si="19"/>
        <v>0</v>
      </c>
      <c r="K131" s="59"/>
      <c r="L131" s="59"/>
      <c r="M131" s="59"/>
      <c r="N131" s="59"/>
      <c r="O131" s="44">
        <f t="shared" si="20"/>
        <v>0</v>
      </c>
      <c r="P131" s="23">
        <f t="shared" si="22"/>
        <v>0</v>
      </c>
    </row>
    <row r="132" spans="1:16" hidden="1" x14ac:dyDescent="0.3">
      <c r="A132" s="34" t="s">
        <v>211</v>
      </c>
      <c r="B132" s="35" t="s">
        <v>212</v>
      </c>
      <c r="C132" s="35" t="s">
        <v>213</v>
      </c>
      <c r="D132" s="56" t="s">
        <v>214</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178</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215</v>
      </c>
      <c r="B134" s="35" t="s">
        <v>216</v>
      </c>
      <c r="C134" s="35"/>
      <c r="D134" s="71" t="s">
        <v>217</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218</v>
      </c>
      <c r="B135" s="42" t="s">
        <v>219</v>
      </c>
      <c r="C135" s="42" t="s">
        <v>220</v>
      </c>
      <c r="D135" s="68" t="s">
        <v>221</v>
      </c>
      <c r="E135" s="29">
        <f t="shared" si="18"/>
        <v>0</v>
      </c>
      <c r="F135" s="29"/>
      <c r="G135" s="29"/>
      <c r="H135" s="29"/>
      <c r="I135" s="29"/>
      <c r="J135" s="38">
        <f t="shared" si="19"/>
        <v>0</v>
      </c>
      <c r="K135" s="29"/>
      <c r="L135" s="29"/>
      <c r="M135" s="29"/>
      <c r="N135" s="29"/>
      <c r="O135" s="44">
        <f t="shared" si="20"/>
        <v>0</v>
      </c>
      <c r="P135" s="23">
        <f t="shared" si="22"/>
        <v>0</v>
      </c>
    </row>
    <row r="136" spans="1:16" hidden="1" x14ac:dyDescent="0.3">
      <c r="A136" s="34" t="s">
        <v>222</v>
      </c>
      <c r="B136" s="35" t="s">
        <v>223</v>
      </c>
      <c r="C136" s="35" t="s">
        <v>220</v>
      </c>
      <c r="D136" s="36" t="s">
        <v>224</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8" t="s">
        <v>181</v>
      </c>
      <c r="E137" s="29">
        <f t="shared" si="18"/>
        <v>0</v>
      </c>
      <c r="F137" s="29"/>
      <c r="G137" s="29"/>
      <c r="H137" s="29"/>
      <c r="I137" s="29"/>
      <c r="J137" s="38"/>
      <c r="K137" s="29"/>
      <c r="L137" s="29"/>
      <c r="M137" s="29"/>
      <c r="N137" s="29"/>
      <c r="O137" s="44">
        <f t="shared" si="20"/>
        <v>0</v>
      </c>
      <c r="P137" s="23">
        <f t="shared" si="22"/>
        <v>0</v>
      </c>
    </row>
    <row r="138" spans="1:16" s="31" customFormat="1" ht="26.4" hidden="1" x14ac:dyDescent="0.25">
      <c r="A138" s="41"/>
      <c r="B138" s="42"/>
      <c r="C138" s="42"/>
      <c r="D138" s="68" t="s">
        <v>182</v>
      </c>
      <c r="E138" s="29">
        <f>F138</f>
        <v>0</v>
      </c>
      <c r="F138" s="29"/>
      <c r="G138" s="29"/>
      <c r="H138" s="29"/>
      <c r="I138" s="29"/>
      <c r="J138" s="38"/>
      <c r="K138" s="29"/>
      <c r="L138" s="29"/>
      <c r="M138" s="29"/>
      <c r="N138" s="29"/>
      <c r="O138" s="44">
        <f t="shared" si="20"/>
        <v>0</v>
      </c>
      <c r="P138" s="23">
        <f t="shared" si="22"/>
        <v>0</v>
      </c>
    </row>
    <row r="139" spans="1:16" s="31" customFormat="1" ht="39.6" hidden="1" x14ac:dyDescent="0.25">
      <c r="A139" s="41"/>
      <c r="B139" s="42"/>
      <c r="C139" s="42"/>
      <c r="D139" s="68" t="s">
        <v>183</v>
      </c>
      <c r="E139" s="29">
        <f>F139</f>
        <v>0</v>
      </c>
      <c r="F139" s="29"/>
      <c r="G139" s="29"/>
      <c r="H139" s="29"/>
      <c r="I139" s="29"/>
      <c r="J139" s="38"/>
      <c r="K139" s="29"/>
      <c r="L139" s="29"/>
      <c r="M139" s="29"/>
      <c r="N139" s="29"/>
      <c r="O139" s="44">
        <f t="shared" si="20"/>
        <v>0</v>
      </c>
      <c r="P139" s="23">
        <f t="shared" si="22"/>
        <v>0</v>
      </c>
    </row>
    <row r="140" spans="1:16" s="31" customFormat="1" ht="13.2" hidden="1" x14ac:dyDescent="0.25">
      <c r="A140" s="41" t="s">
        <v>225</v>
      </c>
      <c r="B140" s="42" t="s">
        <v>226</v>
      </c>
      <c r="C140" s="42" t="s">
        <v>220</v>
      </c>
      <c r="D140" s="68" t="s">
        <v>227</v>
      </c>
      <c r="E140" s="29">
        <f>F140+I140</f>
        <v>0</v>
      </c>
      <c r="F140" s="29"/>
      <c r="G140" s="29"/>
      <c r="H140" s="29"/>
      <c r="I140" s="29"/>
      <c r="J140" s="38">
        <f t="shared" si="19"/>
        <v>0</v>
      </c>
      <c r="K140" s="29"/>
      <c r="L140" s="29"/>
      <c r="M140" s="29"/>
      <c r="N140" s="29"/>
      <c r="O140" s="44">
        <f t="shared" si="20"/>
        <v>0</v>
      </c>
      <c r="P140" s="23">
        <f t="shared" si="22"/>
        <v>0</v>
      </c>
    </row>
    <row r="141" spans="1:16" s="31" customFormat="1" ht="13.2" hidden="1" x14ac:dyDescent="0.25">
      <c r="A141" s="41"/>
      <c r="B141" s="42"/>
      <c r="C141" s="42"/>
      <c r="D141" s="68" t="s">
        <v>178</v>
      </c>
      <c r="E141" s="29">
        <f t="shared" si="18"/>
        <v>0</v>
      </c>
      <c r="F141" s="29"/>
      <c r="G141" s="29"/>
      <c r="H141" s="29"/>
      <c r="I141" s="29"/>
      <c r="J141" s="38"/>
      <c r="K141" s="29"/>
      <c r="L141" s="29"/>
      <c r="M141" s="29"/>
      <c r="N141" s="29"/>
      <c r="O141" s="44">
        <f t="shared" si="20"/>
        <v>0</v>
      </c>
      <c r="P141" s="23">
        <f t="shared" si="22"/>
        <v>0</v>
      </c>
    </row>
    <row r="142" spans="1:16" s="31" customFormat="1" ht="39.6" hidden="1" x14ac:dyDescent="0.25">
      <c r="A142" s="41"/>
      <c r="B142" s="42"/>
      <c r="C142" s="42"/>
      <c r="D142" s="68" t="s">
        <v>228</v>
      </c>
      <c r="E142" s="29"/>
      <c r="F142" s="29"/>
      <c r="G142" s="29"/>
      <c r="H142" s="29"/>
      <c r="I142" s="29"/>
      <c r="J142" s="38"/>
      <c r="K142" s="29"/>
      <c r="L142" s="29"/>
      <c r="M142" s="29"/>
      <c r="N142" s="29"/>
      <c r="O142" s="44">
        <f t="shared" si="20"/>
        <v>0</v>
      </c>
      <c r="P142" s="23">
        <f t="shared" si="22"/>
        <v>0</v>
      </c>
    </row>
    <row r="143" spans="1:16" hidden="1" x14ac:dyDescent="0.3">
      <c r="A143" s="34" t="s">
        <v>229</v>
      </c>
      <c r="B143" s="35" t="s">
        <v>230</v>
      </c>
      <c r="C143" s="35"/>
      <c r="D143" s="56" t="s">
        <v>231</v>
      </c>
      <c r="E143" s="38">
        <f t="shared" si="18"/>
        <v>0</v>
      </c>
      <c r="F143" s="44"/>
      <c r="G143" s="44"/>
      <c r="H143" s="44"/>
      <c r="I143" s="44"/>
      <c r="J143" s="38">
        <f t="shared" si="19"/>
        <v>0</v>
      </c>
      <c r="K143" s="44"/>
      <c r="L143" s="44"/>
      <c r="M143" s="44"/>
      <c r="N143" s="44"/>
      <c r="O143" s="44">
        <f t="shared" si="20"/>
        <v>0</v>
      </c>
      <c r="P143" s="23">
        <f t="shared" si="22"/>
        <v>0</v>
      </c>
    </row>
    <row r="144" spans="1:16" hidden="1" x14ac:dyDescent="0.3">
      <c r="A144" s="34" t="s">
        <v>232</v>
      </c>
      <c r="B144" s="35" t="s">
        <v>233</v>
      </c>
      <c r="C144" s="35" t="s">
        <v>220</v>
      </c>
      <c r="D144" s="56" t="s">
        <v>234</v>
      </c>
      <c r="E144" s="38">
        <f t="shared" si="18"/>
        <v>0</v>
      </c>
      <c r="F144" s="44"/>
      <c r="G144" s="44"/>
      <c r="H144" s="44"/>
      <c r="I144" s="44"/>
      <c r="J144" s="38">
        <f t="shared" si="19"/>
        <v>0</v>
      </c>
      <c r="K144" s="44">
        <v>0</v>
      </c>
      <c r="L144" s="44"/>
      <c r="M144" s="44"/>
      <c r="N144" s="44"/>
      <c r="O144" s="44">
        <f t="shared" si="20"/>
        <v>0</v>
      </c>
      <c r="P144" s="23">
        <f t="shared" si="22"/>
        <v>0</v>
      </c>
    </row>
    <row r="145" spans="1:18" s="104" customFormat="1" ht="26.25" customHeight="1" x14ac:dyDescent="0.3">
      <c r="A145" s="99" t="s">
        <v>235</v>
      </c>
      <c r="B145" s="100" t="s">
        <v>236</v>
      </c>
      <c r="C145" s="100" t="s">
        <v>220</v>
      </c>
      <c r="D145" s="111" t="s">
        <v>237</v>
      </c>
      <c r="E145" s="102">
        <f t="shared" si="18"/>
        <v>10073435</v>
      </c>
      <c r="F145" s="107">
        <f>6008300-1172110+1513000+1537200+1180000+1007045</f>
        <v>10073435</v>
      </c>
      <c r="G145" s="107"/>
      <c r="H145" s="107"/>
      <c r="I145" s="107"/>
      <c r="J145" s="102">
        <f>L145+O145</f>
        <v>1172110</v>
      </c>
      <c r="K145" s="107">
        <v>1172110</v>
      </c>
      <c r="L145" s="107"/>
      <c r="M145" s="107"/>
      <c r="N145" s="107"/>
      <c r="O145" s="107">
        <f>SUM(K145)</f>
        <v>1172110</v>
      </c>
      <c r="P145" s="103">
        <f>E145+J145</f>
        <v>11245545</v>
      </c>
    </row>
    <row r="146" spans="1:18" hidden="1" x14ac:dyDescent="0.3">
      <c r="A146" s="34"/>
      <c r="B146" s="35"/>
      <c r="C146" s="35"/>
      <c r="D146" s="53" t="s">
        <v>178</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52</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179</v>
      </c>
      <c r="E148" s="29">
        <f t="shared" ref="E148:E153" si="23">F148</f>
        <v>0</v>
      </c>
      <c r="F148" s="59"/>
      <c r="G148" s="59"/>
      <c r="H148" s="59"/>
      <c r="I148" s="59"/>
      <c r="J148" s="29"/>
      <c r="K148" s="59"/>
      <c r="L148" s="59"/>
      <c r="M148" s="59"/>
      <c r="N148" s="59"/>
      <c r="O148" s="59"/>
      <c r="P148" s="30">
        <f t="shared" si="22"/>
        <v>0</v>
      </c>
    </row>
    <row r="149" spans="1:18" ht="27" hidden="1" x14ac:dyDescent="0.3">
      <c r="A149" s="34" t="s">
        <v>238</v>
      </c>
      <c r="B149" s="35" t="s">
        <v>239</v>
      </c>
      <c r="C149" s="35"/>
      <c r="D149" s="66" t="s">
        <v>240</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241</v>
      </c>
      <c r="B150" s="42" t="s">
        <v>242</v>
      </c>
      <c r="C150" s="42" t="s">
        <v>59</v>
      </c>
      <c r="D150" s="74" t="s">
        <v>243</v>
      </c>
      <c r="E150" s="29">
        <f t="shared" si="23"/>
        <v>0</v>
      </c>
      <c r="F150" s="29"/>
      <c r="G150" s="29"/>
      <c r="H150" s="29"/>
      <c r="I150" s="29"/>
      <c r="J150" s="38">
        <f t="shared" si="19"/>
        <v>0</v>
      </c>
      <c r="K150" s="38"/>
      <c r="L150" s="38"/>
      <c r="M150" s="38"/>
      <c r="N150" s="38"/>
      <c r="O150" s="44">
        <f>K150</f>
        <v>0</v>
      </c>
      <c r="P150" s="30">
        <f t="shared" si="22"/>
        <v>0</v>
      </c>
    </row>
    <row r="151" spans="1:18" s="31" customFormat="1" ht="26.4" hidden="1" x14ac:dyDescent="0.25">
      <c r="A151" s="41"/>
      <c r="B151" s="42"/>
      <c r="C151" s="42"/>
      <c r="D151" s="43" t="s">
        <v>244</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245</v>
      </c>
      <c r="B152" s="35" t="s">
        <v>246</v>
      </c>
      <c r="C152" s="35" t="s">
        <v>247</v>
      </c>
      <c r="D152" s="47" t="s">
        <v>248</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52</v>
      </c>
      <c r="E153" s="29">
        <f t="shared" si="23"/>
        <v>0</v>
      </c>
      <c r="F153" s="29"/>
      <c r="G153" s="29"/>
      <c r="H153" s="29"/>
      <c r="I153" s="29"/>
      <c r="J153" s="29"/>
      <c r="K153" s="29"/>
      <c r="L153" s="29"/>
      <c r="M153" s="29"/>
      <c r="N153" s="29"/>
      <c r="O153" s="59"/>
      <c r="P153" s="30">
        <f t="shared" si="22"/>
        <v>0</v>
      </c>
    </row>
    <row r="154" spans="1:18" s="31" customFormat="1" ht="26.4" hidden="1" x14ac:dyDescent="0.25">
      <c r="A154" s="41" t="s">
        <v>249</v>
      </c>
      <c r="B154" s="42" t="s">
        <v>250</v>
      </c>
      <c r="C154" s="42" t="s">
        <v>59</v>
      </c>
      <c r="D154" s="71" t="s">
        <v>251</v>
      </c>
      <c r="E154" s="29">
        <f>F154</f>
        <v>0</v>
      </c>
      <c r="F154" s="59"/>
      <c r="G154" s="59"/>
      <c r="H154" s="59"/>
      <c r="I154" s="59"/>
      <c r="J154" s="38">
        <f t="shared" si="19"/>
        <v>0</v>
      </c>
      <c r="K154" s="44"/>
      <c r="L154" s="44"/>
      <c r="M154" s="44"/>
      <c r="N154" s="44"/>
      <c r="O154" s="44">
        <f>K154</f>
        <v>0</v>
      </c>
      <c r="P154" s="30">
        <f t="shared" si="22"/>
        <v>0</v>
      </c>
    </row>
    <row r="155" spans="1:18" s="31" customFormat="1" ht="26.4" hidden="1" x14ac:dyDescent="0.25">
      <c r="A155" s="41"/>
      <c r="B155" s="42"/>
      <c r="C155" s="42"/>
      <c r="D155" s="53" t="s">
        <v>184</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252</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253</v>
      </c>
      <c r="B157" s="20"/>
      <c r="C157" s="21"/>
      <c r="D157" s="22" t="s">
        <v>254</v>
      </c>
      <c r="E157" s="57">
        <f>E159</f>
        <v>63478310</v>
      </c>
      <c r="F157" s="57">
        <f t="shared" ref="F157:P157" si="24">F159</f>
        <v>63478310</v>
      </c>
      <c r="G157" s="57">
        <f t="shared" si="24"/>
        <v>11993000</v>
      </c>
      <c r="H157" s="57">
        <f t="shared" si="24"/>
        <v>100000</v>
      </c>
      <c r="I157" s="57">
        <f t="shared" si="24"/>
        <v>0</v>
      </c>
      <c r="J157" s="57">
        <f t="shared" si="24"/>
        <v>500000</v>
      </c>
      <c r="K157" s="57">
        <f>K159</f>
        <v>500000</v>
      </c>
      <c r="L157" s="57">
        <f t="shared" si="24"/>
        <v>0</v>
      </c>
      <c r="M157" s="57">
        <f t="shared" si="24"/>
        <v>0</v>
      </c>
      <c r="N157" s="57">
        <f t="shared" si="24"/>
        <v>0</v>
      </c>
      <c r="O157" s="57">
        <f t="shared" si="24"/>
        <v>500000</v>
      </c>
      <c r="P157" s="57">
        <f t="shared" si="24"/>
        <v>63978310</v>
      </c>
      <c r="R157" s="24"/>
    </row>
    <row r="158" spans="1:18" s="31" customFormat="1" ht="39.6" hidden="1" x14ac:dyDescent="0.25">
      <c r="A158" s="41"/>
      <c r="B158" s="63"/>
      <c r="C158" s="42"/>
      <c r="D158" s="28" t="s">
        <v>255</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256</v>
      </c>
      <c r="B159" s="55"/>
      <c r="C159" s="21"/>
      <c r="D159" s="28" t="s">
        <v>254</v>
      </c>
      <c r="E159" s="23">
        <f>F159+I159</f>
        <v>63478310</v>
      </c>
      <c r="F159" s="57">
        <f>F160+F162+F164+F169+F171+F178+F179+F180+F181+F183+F185+F187+F189+F191+F193+F195+F199+F203+F205+F207+F209+F211+F213+F216+F218+F219+F221+F222+F224+F228+F229+F231+F234+F235+F242+F247+F249+F244+F240+F226+F250+F245</f>
        <v>63478310</v>
      </c>
      <c r="G159" s="57">
        <f t="shared" ref="G159:O159" si="27">G160+G162+G164+G169+G171+G178+G179+G180+G181+G183+G185+G187+G189+G191+G193+G195+G199+G203+G205+G207+G209+G211+G213+G216+G218+G219+G221+G222+G224+G228+G229+G231+G234+G235+G242+G244+G247+G249+G245+G240+G226</f>
        <v>11993000</v>
      </c>
      <c r="H159" s="57">
        <f t="shared" si="27"/>
        <v>100000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63978310</v>
      </c>
    </row>
    <row r="160" spans="1:18" ht="25.95" customHeight="1" x14ac:dyDescent="0.3">
      <c r="A160" s="34" t="s">
        <v>257</v>
      </c>
      <c r="B160" s="35" t="s">
        <v>31</v>
      </c>
      <c r="C160" s="35" t="s">
        <v>24</v>
      </c>
      <c r="D160" s="56" t="s">
        <v>113</v>
      </c>
      <c r="E160" s="38">
        <f t="shared" ref="E160:E202" si="28">F160+I160</f>
        <v>15531660</v>
      </c>
      <c r="F160" s="44">
        <f>15531660+2346466-2346466</f>
        <v>15531660</v>
      </c>
      <c r="G160" s="44">
        <f>11993000+2346466-2346466</f>
        <v>11993000</v>
      </c>
      <c r="H160" s="44">
        <v>100000</v>
      </c>
      <c r="I160" s="44"/>
      <c r="J160" s="38">
        <f t="shared" ref="J160:J202" si="29">L160+O160</f>
        <v>500000</v>
      </c>
      <c r="K160" s="44">
        <v>500000</v>
      </c>
      <c r="L160" s="44"/>
      <c r="M160" s="44"/>
      <c r="N160" s="44"/>
      <c r="O160" s="44">
        <f>K160</f>
        <v>500000</v>
      </c>
      <c r="P160" s="23">
        <f t="shared" si="26"/>
        <v>16031660</v>
      </c>
    </row>
    <row r="161" spans="1:16" ht="39.6" hidden="1" x14ac:dyDescent="0.3">
      <c r="A161" s="34" t="s">
        <v>258</v>
      </c>
      <c r="B161" s="55" t="s">
        <v>259</v>
      </c>
      <c r="C161" s="51"/>
      <c r="D161" s="40" t="s">
        <v>260</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261</v>
      </c>
      <c r="B162" s="63" t="s">
        <v>262</v>
      </c>
      <c r="C162" s="75" t="s">
        <v>38</v>
      </c>
      <c r="D162" s="76" t="s">
        <v>263</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7"/>
      <c r="D163" s="40" t="s">
        <v>264</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265</v>
      </c>
      <c r="B164" s="63" t="s">
        <v>266</v>
      </c>
      <c r="C164" s="75" t="s">
        <v>267</v>
      </c>
      <c r="D164" s="68" t="s">
        <v>268</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7"/>
      <c r="D165" s="40" t="s">
        <v>264</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269</v>
      </c>
      <c r="C166" s="51" t="s">
        <v>267</v>
      </c>
      <c r="D166" s="40" t="s">
        <v>270</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271</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272</v>
      </c>
      <c r="B168" s="55" t="s">
        <v>273</v>
      </c>
      <c r="C168" s="51"/>
      <c r="D168" s="40" t="s">
        <v>274</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26.4" hidden="1" x14ac:dyDescent="0.25">
      <c r="A169" s="41" t="s">
        <v>275</v>
      </c>
      <c r="B169" s="63" t="s">
        <v>276</v>
      </c>
      <c r="C169" s="75" t="s">
        <v>38</v>
      </c>
      <c r="D169" s="28" t="s">
        <v>277</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7"/>
      <c r="D170" s="40" t="s">
        <v>278</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279</v>
      </c>
      <c r="B171" s="63" t="s">
        <v>280</v>
      </c>
      <c r="C171" s="75" t="s">
        <v>267</v>
      </c>
      <c r="D171" s="68" t="s">
        <v>281</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7"/>
      <c r="D172" s="40" t="s">
        <v>278</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282</v>
      </c>
      <c r="B173" s="63" t="s">
        <v>283</v>
      </c>
      <c r="C173" s="75" t="s">
        <v>267</v>
      </c>
      <c r="D173" s="68" t="s">
        <v>284</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7"/>
      <c r="D174" s="40" t="s">
        <v>285</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286</v>
      </c>
      <c r="C175" s="35" t="s">
        <v>267</v>
      </c>
      <c r="D175" s="66" t="s">
        <v>287</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285</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288</v>
      </c>
      <c r="B177" s="55" t="s">
        <v>289</v>
      </c>
      <c r="C177" s="35"/>
      <c r="D177" s="40" t="s">
        <v>290</v>
      </c>
      <c r="E177" s="38">
        <f>SUM(E178:E181)</f>
        <v>0</v>
      </c>
      <c r="F177" s="44"/>
      <c r="G177" s="44"/>
      <c r="H177" s="44"/>
      <c r="I177" s="38">
        <f>SUM(I178:I181)</f>
        <v>0</v>
      </c>
      <c r="J177" s="38">
        <f>SUM(J178:J181)</f>
        <v>0</v>
      </c>
      <c r="K177" s="38"/>
      <c r="L177" s="38"/>
      <c r="M177" s="38"/>
      <c r="N177" s="38"/>
      <c r="O177" s="38">
        <f>SUM(O178:O181)</f>
        <v>0</v>
      </c>
      <c r="P177" s="23">
        <f>SUM(P178:P181)</f>
        <v>0</v>
      </c>
    </row>
    <row r="178" spans="1:16" hidden="1" x14ac:dyDescent="0.3">
      <c r="A178" s="34" t="s">
        <v>291</v>
      </c>
      <c r="B178" s="55" t="s">
        <v>292</v>
      </c>
      <c r="C178" s="35" t="s">
        <v>38</v>
      </c>
      <c r="D178" s="40" t="s">
        <v>293</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294</v>
      </c>
      <c r="B179" s="51" t="s">
        <v>295</v>
      </c>
      <c r="C179" s="35" t="s">
        <v>136</v>
      </c>
      <c r="D179" s="40" t="s">
        <v>296</v>
      </c>
      <c r="E179" s="38">
        <f>F179+I179</f>
        <v>0</v>
      </c>
      <c r="F179" s="44"/>
      <c r="G179" s="44"/>
      <c r="H179" s="44"/>
      <c r="I179" s="44"/>
      <c r="J179" s="38">
        <f>L179+O179</f>
        <v>0</v>
      </c>
      <c r="K179" s="44"/>
      <c r="L179" s="44"/>
      <c r="M179" s="44"/>
      <c r="N179" s="44"/>
      <c r="O179" s="44"/>
      <c r="P179" s="23">
        <f t="shared" si="31"/>
        <v>0</v>
      </c>
    </row>
    <row r="180" spans="1:16" ht="26.4" hidden="1" x14ac:dyDescent="0.3">
      <c r="A180" s="34" t="s">
        <v>297</v>
      </c>
      <c r="B180" s="51" t="s">
        <v>298</v>
      </c>
      <c r="C180" s="35" t="s">
        <v>136</v>
      </c>
      <c r="D180" s="40" t="s">
        <v>299</v>
      </c>
      <c r="E180" s="38">
        <f>F180+I180</f>
        <v>0</v>
      </c>
      <c r="F180" s="44"/>
      <c r="G180" s="44"/>
      <c r="H180" s="44"/>
      <c r="I180" s="44"/>
      <c r="J180" s="38">
        <f>L180+O180</f>
        <v>0</v>
      </c>
      <c r="K180" s="44"/>
      <c r="L180" s="44"/>
      <c r="M180" s="44"/>
      <c r="N180" s="44"/>
      <c r="O180" s="44"/>
      <c r="P180" s="23">
        <f t="shared" si="31"/>
        <v>0</v>
      </c>
    </row>
    <row r="181" spans="1:16" ht="26.4" hidden="1" x14ac:dyDescent="0.3">
      <c r="A181" s="34" t="s">
        <v>300</v>
      </c>
      <c r="B181" s="51" t="s">
        <v>301</v>
      </c>
      <c r="C181" s="35" t="s">
        <v>136</v>
      </c>
      <c r="D181" s="40" t="s">
        <v>302</v>
      </c>
      <c r="E181" s="38">
        <f>F181+I181</f>
        <v>0</v>
      </c>
      <c r="F181" s="44"/>
      <c r="G181" s="44"/>
      <c r="H181" s="44"/>
      <c r="I181" s="44"/>
      <c r="J181" s="38">
        <f>L181+O181</f>
        <v>0</v>
      </c>
      <c r="K181" s="44"/>
      <c r="L181" s="44"/>
      <c r="M181" s="44"/>
      <c r="N181" s="44"/>
      <c r="O181" s="44"/>
      <c r="P181" s="23">
        <f t="shared" si="31"/>
        <v>0</v>
      </c>
    </row>
    <row r="182" spans="1:16" ht="26.4" hidden="1" x14ac:dyDescent="0.3">
      <c r="A182" s="34" t="s">
        <v>303</v>
      </c>
      <c r="B182" s="55" t="s">
        <v>304</v>
      </c>
      <c r="C182" s="51"/>
      <c r="D182" s="56" t="s">
        <v>305</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306</v>
      </c>
      <c r="B183" s="55" t="s">
        <v>307</v>
      </c>
      <c r="C183" s="51" t="s">
        <v>308</v>
      </c>
      <c r="D183" s="40" t="s">
        <v>309</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310</v>
      </c>
      <c r="E184" s="38">
        <f t="shared" si="28"/>
        <v>0</v>
      </c>
      <c r="F184" s="44"/>
      <c r="G184" s="44"/>
      <c r="H184" s="44"/>
      <c r="I184" s="44"/>
      <c r="J184" s="38">
        <f t="shared" si="29"/>
        <v>0</v>
      </c>
      <c r="K184" s="44"/>
      <c r="L184" s="44"/>
      <c r="M184" s="44"/>
      <c r="N184" s="44"/>
      <c r="O184" s="44"/>
      <c r="P184" s="23">
        <f t="shared" si="31"/>
        <v>0</v>
      </c>
    </row>
    <row r="185" spans="1:16" hidden="1" x14ac:dyDescent="0.3">
      <c r="A185" s="34" t="s">
        <v>311</v>
      </c>
      <c r="B185" s="55" t="s">
        <v>312</v>
      </c>
      <c r="C185" s="51" t="s">
        <v>308</v>
      </c>
      <c r="D185" s="36" t="s">
        <v>313</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310</v>
      </c>
      <c r="E186" s="38">
        <f t="shared" si="28"/>
        <v>0</v>
      </c>
      <c r="F186" s="44"/>
      <c r="G186" s="44"/>
      <c r="H186" s="44"/>
      <c r="I186" s="44"/>
      <c r="J186" s="38">
        <f t="shared" si="29"/>
        <v>0</v>
      </c>
      <c r="K186" s="44"/>
      <c r="L186" s="44"/>
      <c r="M186" s="44"/>
      <c r="N186" s="44"/>
      <c r="O186" s="44"/>
      <c r="P186" s="23">
        <f t="shared" si="31"/>
        <v>0</v>
      </c>
    </row>
    <row r="187" spans="1:16" hidden="1" x14ac:dyDescent="0.3">
      <c r="A187" s="34" t="s">
        <v>314</v>
      </c>
      <c r="B187" s="55" t="s">
        <v>315</v>
      </c>
      <c r="C187" s="51" t="s">
        <v>308</v>
      </c>
      <c r="D187" s="36" t="s">
        <v>316</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310</v>
      </c>
      <c r="E188" s="38">
        <f t="shared" si="28"/>
        <v>0</v>
      </c>
      <c r="F188" s="44"/>
      <c r="G188" s="44"/>
      <c r="H188" s="44"/>
      <c r="I188" s="44"/>
      <c r="J188" s="38">
        <f t="shared" si="29"/>
        <v>0</v>
      </c>
      <c r="K188" s="44"/>
      <c r="L188" s="44"/>
      <c r="M188" s="44"/>
      <c r="N188" s="44"/>
      <c r="O188" s="44"/>
      <c r="P188" s="23">
        <f t="shared" si="31"/>
        <v>0</v>
      </c>
    </row>
    <row r="189" spans="1:16" hidden="1" x14ac:dyDescent="0.3">
      <c r="A189" s="34" t="s">
        <v>317</v>
      </c>
      <c r="B189" s="55" t="s">
        <v>318</v>
      </c>
      <c r="C189" s="51" t="s">
        <v>308</v>
      </c>
      <c r="D189" s="66" t="s">
        <v>319</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310</v>
      </c>
      <c r="E190" s="38">
        <f t="shared" si="28"/>
        <v>0</v>
      </c>
      <c r="F190" s="44"/>
      <c r="G190" s="44"/>
      <c r="H190" s="44"/>
      <c r="I190" s="44"/>
      <c r="J190" s="38">
        <f t="shared" si="29"/>
        <v>0</v>
      </c>
      <c r="K190" s="44"/>
      <c r="L190" s="44"/>
      <c r="M190" s="44"/>
      <c r="N190" s="44"/>
      <c r="O190" s="44"/>
      <c r="P190" s="23">
        <f t="shared" si="31"/>
        <v>0</v>
      </c>
    </row>
    <row r="191" spans="1:16" hidden="1" x14ac:dyDescent="0.3">
      <c r="A191" s="34" t="s">
        <v>320</v>
      </c>
      <c r="B191" s="55" t="s">
        <v>321</v>
      </c>
      <c r="C191" s="51" t="s">
        <v>308</v>
      </c>
      <c r="D191" s="40" t="s">
        <v>322</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310</v>
      </c>
      <c r="E192" s="38">
        <f t="shared" si="28"/>
        <v>0</v>
      </c>
      <c r="F192" s="44"/>
      <c r="G192" s="44"/>
      <c r="H192" s="44"/>
      <c r="I192" s="44"/>
      <c r="J192" s="38">
        <f t="shared" si="29"/>
        <v>0</v>
      </c>
      <c r="K192" s="44"/>
      <c r="L192" s="44"/>
      <c r="M192" s="44"/>
      <c r="N192" s="44"/>
      <c r="O192" s="44"/>
      <c r="P192" s="23">
        <f t="shared" si="31"/>
        <v>0</v>
      </c>
    </row>
    <row r="193" spans="1:16" hidden="1" x14ac:dyDescent="0.3">
      <c r="A193" s="34" t="s">
        <v>323</v>
      </c>
      <c r="B193" s="55" t="s">
        <v>324</v>
      </c>
      <c r="C193" s="51" t="s">
        <v>308</v>
      </c>
      <c r="D193" s="40" t="s">
        <v>325</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310</v>
      </c>
      <c r="E194" s="38">
        <f t="shared" si="28"/>
        <v>0</v>
      </c>
      <c r="F194" s="44"/>
      <c r="G194" s="44"/>
      <c r="H194" s="44"/>
      <c r="I194" s="44"/>
      <c r="J194" s="38">
        <f t="shared" si="29"/>
        <v>0</v>
      </c>
      <c r="K194" s="44"/>
      <c r="L194" s="44"/>
      <c r="M194" s="44"/>
      <c r="N194" s="44"/>
      <c r="O194" s="44"/>
      <c r="P194" s="23">
        <f t="shared" si="31"/>
        <v>0</v>
      </c>
    </row>
    <row r="195" spans="1:16" hidden="1" x14ac:dyDescent="0.3">
      <c r="A195" s="34" t="s">
        <v>326</v>
      </c>
      <c r="B195" s="55" t="s">
        <v>327</v>
      </c>
      <c r="C195" s="51" t="s">
        <v>308</v>
      </c>
      <c r="D195" s="54" t="s">
        <v>328</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310</v>
      </c>
      <c r="E196" s="38">
        <f>F196+I196</f>
        <v>0</v>
      </c>
      <c r="F196" s="44"/>
      <c r="G196" s="44"/>
      <c r="H196" s="44"/>
      <c r="I196" s="44"/>
      <c r="J196" s="38">
        <f t="shared" si="29"/>
        <v>0</v>
      </c>
      <c r="K196" s="44"/>
      <c r="L196" s="44"/>
      <c r="M196" s="44"/>
      <c r="N196" s="44"/>
      <c r="O196" s="44"/>
      <c r="P196" s="23">
        <f t="shared" si="31"/>
        <v>0</v>
      </c>
    </row>
    <row r="197" spans="1:16" hidden="1" x14ac:dyDescent="0.3">
      <c r="A197" s="34" t="s">
        <v>329</v>
      </c>
      <c r="B197" s="55" t="s">
        <v>330</v>
      </c>
      <c r="C197" s="51" t="s">
        <v>308</v>
      </c>
      <c r="D197" s="40" t="s">
        <v>331</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310</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332</v>
      </c>
      <c r="B199" s="55" t="s">
        <v>333</v>
      </c>
      <c r="C199" s="51" t="s">
        <v>308</v>
      </c>
      <c r="D199" s="40" t="s">
        <v>334</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335</v>
      </c>
      <c r="D200" s="40" t="s">
        <v>310</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336</v>
      </c>
      <c r="B201" s="55" t="s">
        <v>337</v>
      </c>
      <c r="C201" s="51"/>
      <c r="D201" s="40" t="s">
        <v>338</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339</v>
      </c>
      <c r="B203" s="55" t="s">
        <v>340</v>
      </c>
      <c r="C203" s="51" t="s">
        <v>115</v>
      </c>
      <c r="D203" s="40" t="s">
        <v>341</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310</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342</v>
      </c>
      <c r="B205" s="55" t="s">
        <v>343</v>
      </c>
      <c r="C205" s="51" t="s">
        <v>115</v>
      </c>
      <c r="D205" s="40" t="s">
        <v>344</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310</v>
      </c>
      <c r="E206" s="38">
        <f t="shared" si="32"/>
        <v>0</v>
      </c>
      <c r="F206" s="44"/>
      <c r="G206" s="44"/>
      <c r="H206" s="44"/>
      <c r="I206" s="44"/>
      <c r="J206" s="38"/>
      <c r="K206" s="44"/>
      <c r="L206" s="44"/>
      <c r="M206" s="44"/>
      <c r="N206" s="44"/>
      <c r="O206" s="44"/>
      <c r="P206" s="23">
        <f t="shared" si="31"/>
        <v>0</v>
      </c>
    </row>
    <row r="207" spans="1:16" ht="26.4" hidden="1" x14ac:dyDescent="0.3">
      <c r="A207" s="34" t="s">
        <v>345</v>
      </c>
      <c r="B207" s="55" t="s">
        <v>346</v>
      </c>
      <c r="C207" s="51" t="s">
        <v>115</v>
      </c>
      <c r="D207" s="40" t="s">
        <v>347</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310</v>
      </c>
      <c r="E208" s="38">
        <f t="shared" si="32"/>
        <v>0</v>
      </c>
      <c r="F208" s="44"/>
      <c r="G208" s="44"/>
      <c r="H208" s="44"/>
      <c r="I208" s="44"/>
      <c r="J208" s="38"/>
      <c r="K208" s="44"/>
      <c r="L208" s="44"/>
      <c r="M208" s="44"/>
      <c r="N208" s="44"/>
      <c r="O208" s="44"/>
      <c r="P208" s="23">
        <f t="shared" si="31"/>
        <v>0</v>
      </c>
    </row>
    <row r="209" spans="1:16" ht="26.4" hidden="1" x14ac:dyDescent="0.3">
      <c r="A209" s="34" t="s">
        <v>348</v>
      </c>
      <c r="B209" s="55" t="s">
        <v>349</v>
      </c>
      <c r="C209" s="51" t="s">
        <v>115</v>
      </c>
      <c r="D209" s="40" t="s">
        <v>350</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310</v>
      </c>
      <c r="E210" s="38">
        <f t="shared" si="32"/>
        <v>0</v>
      </c>
      <c r="F210" s="44"/>
      <c r="G210" s="44"/>
      <c r="H210" s="44"/>
      <c r="I210" s="44"/>
      <c r="J210" s="38"/>
      <c r="K210" s="44"/>
      <c r="L210" s="44"/>
      <c r="M210" s="44"/>
      <c r="N210" s="44"/>
      <c r="O210" s="44"/>
      <c r="P210" s="23">
        <f t="shared" si="31"/>
        <v>0</v>
      </c>
    </row>
    <row r="211" spans="1:16" ht="39.6" hidden="1" x14ac:dyDescent="0.3">
      <c r="A211" s="34" t="s">
        <v>351</v>
      </c>
      <c r="B211" s="55" t="s">
        <v>352</v>
      </c>
      <c r="C211" s="51" t="s">
        <v>115</v>
      </c>
      <c r="D211" s="40" t="s">
        <v>353</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310</v>
      </c>
      <c r="E212" s="38">
        <f t="shared" si="32"/>
        <v>0</v>
      </c>
      <c r="F212" s="44"/>
      <c r="G212" s="44"/>
      <c r="H212" s="44"/>
      <c r="I212" s="44"/>
      <c r="J212" s="38"/>
      <c r="K212" s="44"/>
      <c r="L212" s="44"/>
      <c r="M212" s="44"/>
      <c r="N212" s="44"/>
      <c r="O212" s="44"/>
      <c r="P212" s="23">
        <f t="shared" si="31"/>
        <v>0</v>
      </c>
    </row>
    <row r="213" spans="1:16" ht="79.2" hidden="1" x14ac:dyDescent="0.3">
      <c r="A213" s="34" t="s">
        <v>354</v>
      </c>
      <c r="B213" s="55" t="s">
        <v>355</v>
      </c>
      <c r="C213" s="51" t="s">
        <v>308</v>
      </c>
      <c r="D213" s="40" t="s">
        <v>356</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310</v>
      </c>
      <c r="E214" s="38">
        <f>F214</f>
        <v>0</v>
      </c>
      <c r="F214" s="44"/>
      <c r="G214" s="44"/>
      <c r="H214" s="44"/>
      <c r="I214" s="44"/>
      <c r="J214" s="38"/>
      <c r="K214" s="44"/>
      <c r="L214" s="44"/>
      <c r="M214" s="44"/>
      <c r="N214" s="44"/>
      <c r="O214" s="44"/>
      <c r="P214" s="23">
        <f t="shared" si="31"/>
        <v>0</v>
      </c>
    </row>
    <row r="215" spans="1:16" ht="26.4" hidden="1" x14ac:dyDescent="0.3">
      <c r="A215" s="34" t="s">
        <v>357</v>
      </c>
      <c r="B215" s="51" t="s">
        <v>358</v>
      </c>
      <c r="C215" s="51" t="s">
        <v>115</v>
      </c>
      <c r="D215" s="36" t="s">
        <v>359</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360</v>
      </c>
      <c r="B216" s="51" t="s">
        <v>361</v>
      </c>
      <c r="C216" s="51" t="s">
        <v>308</v>
      </c>
      <c r="D216" s="36" t="s">
        <v>362</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310</v>
      </c>
      <c r="E217" s="38">
        <f>F217</f>
        <v>0</v>
      </c>
      <c r="F217" s="44"/>
      <c r="G217" s="44"/>
      <c r="H217" s="44"/>
      <c r="I217" s="44"/>
      <c r="J217" s="38"/>
      <c r="K217" s="44"/>
      <c r="L217" s="44"/>
      <c r="M217" s="44"/>
      <c r="N217" s="44"/>
      <c r="O217" s="44"/>
      <c r="P217" s="23">
        <f t="shared" si="31"/>
        <v>0</v>
      </c>
    </row>
    <row r="218" spans="1:16" ht="27.6" hidden="1" customHeight="1" x14ac:dyDescent="0.3">
      <c r="A218" s="34" t="s">
        <v>363</v>
      </c>
      <c r="B218" s="35" t="s">
        <v>364</v>
      </c>
      <c r="C218" s="35" t="s">
        <v>365</v>
      </c>
      <c r="D218" s="40" t="s">
        <v>366</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367</v>
      </c>
      <c r="B219" s="35" t="s">
        <v>368</v>
      </c>
      <c r="C219" s="35" t="s">
        <v>115</v>
      </c>
      <c r="D219" s="40" t="s">
        <v>369</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370</v>
      </c>
      <c r="B220" s="35" t="s">
        <v>371</v>
      </c>
      <c r="C220" s="35"/>
      <c r="D220" s="54" t="s">
        <v>372</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373</v>
      </c>
      <c r="B221" s="51" t="s">
        <v>374</v>
      </c>
      <c r="C221" s="51" t="s">
        <v>308</v>
      </c>
      <c r="D221" s="56" t="s">
        <v>375</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376</v>
      </c>
      <c r="B222" s="51" t="s">
        <v>377</v>
      </c>
      <c r="C222" s="51" t="s">
        <v>308</v>
      </c>
      <c r="D222" s="56" t="s">
        <v>378</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379</v>
      </c>
      <c r="B223" s="51" t="s">
        <v>380</v>
      </c>
      <c r="C223" s="51"/>
      <c r="D223" s="66" t="s">
        <v>381</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382</v>
      </c>
      <c r="B224" s="51" t="s">
        <v>383</v>
      </c>
      <c r="C224" s="51" t="s">
        <v>308</v>
      </c>
      <c r="D224" s="73" t="s">
        <v>384</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385</v>
      </c>
      <c r="C225" s="35" t="s">
        <v>308</v>
      </c>
      <c r="D225" s="40" t="s">
        <v>76</v>
      </c>
      <c r="E225" s="38">
        <f t="shared" si="33"/>
        <v>0</v>
      </c>
      <c r="F225" s="44"/>
      <c r="G225" s="44"/>
      <c r="H225" s="44"/>
      <c r="I225" s="44"/>
      <c r="J225" s="38">
        <f t="shared" si="34"/>
        <v>0</v>
      </c>
      <c r="K225" s="44"/>
      <c r="L225" s="44"/>
      <c r="M225" s="44"/>
      <c r="N225" s="44"/>
      <c r="O225" s="44">
        <f t="shared" si="35"/>
        <v>0</v>
      </c>
      <c r="P225" s="23">
        <f t="shared" si="31"/>
        <v>0</v>
      </c>
    </row>
    <row r="226" spans="1:16" ht="26.4" hidden="1" x14ac:dyDescent="0.3">
      <c r="A226" s="34" t="s">
        <v>386</v>
      </c>
      <c r="B226" s="35" t="s">
        <v>387</v>
      </c>
      <c r="C226" s="35" t="s">
        <v>308</v>
      </c>
      <c r="D226" s="40" t="s">
        <v>388</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255</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684</v>
      </c>
      <c r="B228" s="42" t="s">
        <v>683</v>
      </c>
      <c r="C228" s="42" t="s">
        <v>38</v>
      </c>
      <c r="D228" s="40" t="s">
        <v>685</v>
      </c>
      <c r="E228" s="38">
        <f>F228+I228</f>
        <v>500000</v>
      </c>
      <c r="F228" s="59">
        <v>500000</v>
      </c>
      <c r="G228" s="59"/>
      <c r="H228" s="59"/>
      <c r="I228" s="59"/>
      <c r="J228" s="38">
        <f>L228+O228</f>
        <v>0</v>
      </c>
      <c r="K228" s="59"/>
      <c r="L228" s="59"/>
      <c r="M228" s="59"/>
      <c r="N228" s="59"/>
      <c r="O228" s="44"/>
      <c r="P228" s="23">
        <f t="shared" si="31"/>
        <v>500000</v>
      </c>
    </row>
    <row r="229" spans="1:16" ht="1.95" hidden="1" customHeight="1" x14ac:dyDescent="0.3">
      <c r="A229" s="34" t="s">
        <v>389</v>
      </c>
      <c r="B229" s="51" t="s">
        <v>390</v>
      </c>
      <c r="C229" s="51" t="s">
        <v>308</v>
      </c>
      <c r="D229" s="36" t="s">
        <v>391</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52</v>
      </c>
      <c r="E230" s="38"/>
      <c r="F230" s="44"/>
      <c r="G230" s="44"/>
      <c r="H230" s="44"/>
      <c r="I230" s="44"/>
      <c r="J230" s="38"/>
      <c r="K230" s="44"/>
      <c r="L230" s="44"/>
      <c r="M230" s="44"/>
      <c r="N230" s="44"/>
      <c r="O230" s="44"/>
      <c r="P230" s="23">
        <f t="shared" si="31"/>
        <v>0</v>
      </c>
    </row>
    <row r="231" spans="1:16" ht="39.6" hidden="1" customHeight="1" x14ac:dyDescent="0.3">
      <c r="A231" s="34" t="s">
        <v>392</v>
      </c>
      <c r="B231" s="35" t="s">
        <v>393</v>
      </c>
      <c r="C231" s="35" t="s">
        <v>115</v>
      </c>
      <c r="D231" s="40" t="s">
        <v>394</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395</v>
      </c>
      <c r="B232" s="35" t="s">
        <v>396</v>
      </c>
      <c r="C232" s="35" t="s">
        <v>115</v>
      </c>
      <c r="D232" s="40" t="s">
        <v>366</v>
      </c>
      <c r="E232" s="38">
        <f t="shared" si="33"/>
        <v>0</v>
      </c>
      <c r="F232" s="44"/>
      <c r="G232" s="44"/>
      <c r="H232" s="44"/>
      <c r="I232" s="44"/>
      <c r="J232" s="38">
        <f t="shared" si="34"/>
        <v>0</v>
      </c>
      <c r="K232" s="44"/>
      <c r="L232" s="44"/>
      <c r="M232" s="44"/>
      <c r="N232" s="44"/>
      <c r="O232" s="44"/>
      <c r="P232" s="23">
        <f t="shared" si="31"/>
        <v>0</v>
      </c>
    </row>
    <row r="233" spans="1:16" hidden="1" x14ac:dyDescent="0.3">
      <c r="A233" s="34" t="s">
        <v>397</v>
      </c>
      <c r="B233" s="35" t="s">
        <v>34</v>
      </c>
      <c r="C233" s="35"/>
      <c r="D233" s="40" t="s">
        <v>35</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398</v>
      </c>
      <c r="B234" s="35" t="s">
        <v>37</v>
      </c>
      <c r="C234" s="35" t="s">
        <v>38</v>
      </c>
      <c r="D234" s="40" t="s">
        <v>399</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400</v>
      </c>
      <c r="B235" s="51" t="s">
        <v>401</v>
      </c>
      <c r="C235" s="51" t="s">
        <v>402</v>
      </c>
      <c r="D235" s="56" t="s">
        <v>403</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74</v>
      </c>
      <c r="C236" s="35" t="s">
        <v>75</v>
      </c>
      <c r="D236" s="40" t="s">
        <v>76</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404</v>
      </c>
      <c r="B237" s="55" t="s">
        <v>405</v>
      </c>
      <c r="C237" s="35"/>
      <c r="D237" s="40" t="s">
        <v>406</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407</v>
      </c>
      <c r="B238" s="55" t="s">
        <v>408</v>
      </c>
      <c r="C238" s="35" t="s">
        <v>267</v>
      </c>
      <c r="D238" s="40" t="s">
        <v>409</v>
      </c>
      <c r="E238" s="38">
        <f t="shared" si="33"/>
        <v>0</v>
      </c>
      <c r="F238" s="44"/>
      <c r="G238" s="44"/>
      <c r="H238" s="44"/>
      <c r="I238" s="44"/>
      <c r="J238" s="38">
        <f t="shared" si="34"/>
        <v>0</v>
      </c>
      <c r="K238" s="44"/>
      <c r="L238" s="44"/>
      <c r="M238" s="44"/>
      <c r="N238" s="44"/>
      <c r="O238" s="44">
        <f>K238</f>
        <v>0</v>
      </c>
      <c r="P238" s="23">
        <f t="shared" si="31"/>
        <v>0</v>
      </c>
    </row>
    <row r="239" spans="1:16" s="31" customFormat="1" ht="118.8" hidden="1" x14ac:dyDescent="0.25">
      <c r="A239" s="41"/>
      <c r="B239" s="63"/>
      <c r="C239" s="42"/>
      <c r="D239" s="64" t="s">
        <v>410</v>
      </c>
      <c r="E239" s="29">
        <f t="shared" si="33"/>
        <v>0</v>
      </c>
      <c r="F239" s="44"/>
      <c r="G239" s="44"/>
      <c r="H239" s="44"/>
      <c r="I239" s="59"/>
      <c r="J239" s="29">
        <f t="shared" si="34"/>
        <v>0</v>
      </c>
      <c r="K239" s="59"/>
      <c r="L239" s="59"/>
      <c r="M239" s="59"/>
      <c r="N239" s="59"/>
      <c r="O239" s="59">
        <f>K239</f>
        <v>0</v>
      </c>
      <c r="P239" s="30">
        <f t="shared" si="31"/>
        <v>0</v>
      </c>
    </row>
    <row r="240" spans="1:16" ht="158.4" hidden="1" x14ac:dyDescent="0.3">
      <c r="A240" s="34" t="s">
        <v>411</v>
      </c>
      <c r="B240" s="55" t="s">
        <v>412</v>
      </c>
      <c r="C240" s="35" t="s">
        <v>267</v>
      </c>
      <c r="D240" s="40" t="s">
        <v>413</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414</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415</v>
      </c>
      <c r="B242" s="51" t="s">
        <v>416</v>
      </c>
      <c r="C242" s="51" t="s">
        <v>308</v>
      </c>
      <c r="D242" s="40" t="s">
        <v>417</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418</v>
      </c>
      <c r="E243" s="29">
        <f t="shared" si="33"/>
        <v>0</v>
      </c>
      <c r="F243" s="44"/>
      <c r="G243" s="44"/>
      <c r="H243" s="44"/>
      <c r="I243" s="59"/>
      <c r="J243" s="29"/>
      <c r="K243" s="59"/>
      <c r="L243" s="59"/>
      <c r="M243" s="59"/>
      <c r="N243" s="59"/>
      <c r="O243" s="59"/>
      <c r="P243" s="30">
        <f t="shared" si="31"/>
        <v>0</v>
      </c>
    </row>
    <row r="244" spans="1:18" s="113" customFormat="1" ht="34.950000000000003" customHeight="1" x14ac:dyDescent="0.25">
      <c r="A244" s="109" t="s">
        <v>415</v>
      </c>
      <c r="B244" s="122" t="s">
        <v>416</v>
      </c>
      <c r="C244" s="110" t="s">
        <v>136</v>
      </c>
      <c r="D244" s="117" t="s">
        <v>686</v>
      </c>
      <c r="E244" s="121">
        <f t="shared" si="33"/>
        <v>2179250</v>
      </c>
      <c r="F244" s="123">
        <f>15692250-1513000-3000000-9000000</f>
        <v>2179250</v>
      </c>
      <c r="G244" s="123"/>
      <c r="H244" s="123"/>
      <c r="I244" s="123"/>
      <c r="J244" s="121">
        <f>L244+O244</f>
        <v>0</v>
      </c>
      <c r="K244" s="124"/>
      <c r="L244" s="124"/>
      <c r="M244" s="124"/>
      <c r="N244" s="124"/>
      <c r="O244" s="125">
        <f>K244</f>
        <v>0</v>
      </c>
      <c r="P244" s="126">
        <f t="shared" si="31"/>
        <v>2179250</v>
      </c>
    </row>
    <row r="245" spans="1:18" s="104" customFormat="1" ht="33" customHeight="1" x14ac:dyDescent="0.3">
      <c r="A245" s="99" t="s">
        <v>419</v>
      </c>
      <c r="B245" s="100" t="s">
        <v>420</v>
      </c>
      <c r="C245" s="100" t="s">
        <v>247</v>
      </c>
      <c r="D245" s="114" t="s">
        <v>421</v>
      </c>
      <c r="E245" s="102">
        <f t="shared" si="33"/>
        <v>17131400</v>
      </c>
      <c r="F245" s="115">
        <f>16480400-900000+1551000</f>
        <v>17131400</v>
      </c>
      <c r="G245" s="112"/>
      <c r="H245" s="112"/>
      <c r="I245" s="107"/>
      <c r="J245" s="102">
        <f>L245+O245</f>
        <v>0</v>
      </c>
      <c r="K245" s="107"/>
      <c r="L245" s="107"/>
      <c r="M245" s="107"/>
      <c r="N245" s="107"/>
      <c r="O245" s="107"/>
      <c r="P245" s="103">
        <f t="shared" si="31"/>
        <v>17131400</v>
      </c>
    </row>
    <row r="246" spans="1:18" s="31" customFormat="1" ht="39.6" hidden="1" x14ac:dyDescent="0.25">
      <c r="A246" s="41"/>
      <c r="B246" s="42"/>
      <c r="C246" s="42"/>
      <c r="D246" s="28" t="s">
        <v>255</v>
      </c>
      <c r="E246" s="29">
        <f t="shared" si="33"/>
        <v>16480400</v>
      </c>
      <c r="F246" s="44">
        <v>16480400</v>
      </c>
      <c r="G246" s="44"/>
      <c r="H246" s="44"/>
      <c r="I246" s="59"/>
      <c r="J246" s="29"/>
      <c r="K246" s="59"/>
      <c r="L246" s="59"/>
      <c r="M246" s="59"/>
      <c r="N246" s="59"/>
      <c r="O246" s="59">
        <f>K246</f>
        <v>0</v>
      </c>
      <c r="P246" s="30">
        <f>E246+J246</f>
        <v>16480400</v>
      </c>
    </row>
    <row r="247" spans="1:18" s="104" customFormat="1" ht="26.25" customHeight="1" x14ac:dyDescent="0.3">
      <c r="A247" s="99" t="s">
        <v>422</v>
      </c>
      <c r="B247" s="100" t="s">
        <v>246</v>
      </c>
      <c r="C247" s="100" t="s">
        <v>247</v>
      </c>
      <c r="D247" s="127" t="s">
        <v>248</v>
      </c>
      <c r="E247" s="102">
        <f t="shared" si="33"/>
        <v>28036000</v>
      </c>
      <c r="F247" s="112">
        <f>4036000+30000000-6000000</f>
        <v>28036000</v>
      </c>
      <c r="G247" s="112"/>
      <c r="H247" s="112"/>
      <c r="I247" s="107"/>
      <c r="J247" s="102">
        <f>L247+O247</f>
        <v>0</v>
      </c>
      <c r="K247" s="107"/>
      <c r="L247" s="107"/>
      <c r="M247" s="107"/>
      <c r="N247" s="107"/>
      <c r="O247" s="107">
        <f>K247</f>
        <v>0</v>
      </c>
      <c r="P247" s="103">
        <f t="shared" si="31"/>
        <v>28036000</v>
      </c>
    </row>
    <row r="248" spans="1:18" hidden="1" x14ac:dyDescent="0.3">
      <c r="A248" s="34" t="s">
        <v>423</v>
      </c>
      <c r="B248" s="35" t="s">
        <v>65</v>
      </c>
      <c r="C248" s="35"/>
      <c r="D248" s="48" t="s">
        <v>66</v>
      </c>
      <c r="E248" s="38">
        <f>E249</f>
        <v>100000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100000</v>
      </c>
    </row>
    <row r="249" spans="1:18" ht="21" customHeight="1" x14ac:dyDescent="0.3">
      <c r="A249" s="34" t="s">
        <v>424</v>
      </c>
      <c r="B249" s="35" t="s">
        <v>71</v>
      </c>
      <c r="C249" s="35" t="s">
        <v>59</v>
      </c>
      <c r="D249" s="48" t="s">
        <v>72</v>
      </c>
      <c r="E249" s="38">
        <f>F249+I249</f>
        <v>100000</v>
      </c>
      <c r="F249" s="38">
        <v>100000</v>
      </c>
      <c r="G249" s="38"/>
      <c r="H249" s="38"/>
      <c r="I249" s="44"/>
      <c r="J249" s="38">
        <f>L249+O249</f>
        <v>0</v>
      </c>
      <c r="K249" s="44"/>
      <c r="L249" s="44"/>
      <c r="M249" s="44"/>
      <c r="N249" s="44"/>
      <c r="O249" s="44"/>
      <c r="P249" s="23">
        <f t="shared" si="31"/>
        <v>100000</v>
      </c>
    </row>
    <row r="250" spans="1:18" hidden="1" x14ac:dyDescent="0.3">
      <c r="A250" s="34" t="s">
        <v>687</v>
      </c>
      <c r="B250" s="35" t="s">
        <v>688</v>
      </c>
      <c r="C250" s="35" t="s">
        <v>75</v>
      </c>
      <c r="D250" s="48" t="s">
        <v>689</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425</v>
      </c>
      <c r="B251" s="20"/>
      <c r="C251" s="21"/>
      <c r="D251" s="22" t="s">
        <v>426</v>
      </c>
      <c r="E251" s="57">
        <f>E252</f>
        <v>11262850</v>
      </c>
      <c r="F251" s="57">
        <f t="shared" ref="F251:O251" si="38">F252</f>
        <v>11262850</v>
      </c>
      <c r="G251" s="57">
        <f t="shared" si="38"/>
        <v>7332455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427</v>
      </c>
      <c r="B252" s="55"/>
      <c r="C252" s="21"/>
      <c r="D252" s="28" t="s">
        <v>426</v>
      </c>
      <c r="E252" s="57">
        <f>E253+E256+E255+E257</f>
        <v>11262850</v>
      </c>
      <c r="F252" s="57">
        <f t="shared" ref="F252:I252" si="39">F253+F256+F255+F257</f>
        <v>11262850</v>
      </c>
      <c r="G252" s="57">
        <f t="shared" si="39"/>
        <v>7332455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428</v>
      </c>
      <c r="B253" s="35" t="s">
        <v>31</v>
      </c>
      <c r="C253" s="35" t="s">
        <v>24</v>
      </c>
      <c r="D253" s="56" t="s">
        <v>113</v>
      </c>
      <c r="E253" s="38">
        <f>F253+I253</f>
        <v>8524267</v>
      </c>
      <c r="F253" s="44">
        <f>7287600-100+1202000+34767</f>
        <v>8524267</v>
      </c>
      <c r="G253" s="44">
        <f>5727500-100</f>
        <v>5727400</v>
      </c>
      <c r="H253" s="44">
        <f>100000+68000</f>
        <v>168000</v>
      </c>
      <c r="I253" s="44"/>
      <c r="J253" s="38">
        <f>L253+O253</f>
        <v>0</v>
      </c>
      <c r="K253" s="44">
        <f>273350-273350</f>
        <v>0</v>
      </c>
      <c r="L253" s="44"/>
      <c r="M253" s="44"/>
      <c r="N253" s="44"/>
      <c r="O253" s="44">
        <f>K253</f>
        <v>0</v>
      </c>
      <c r="P253" s="23">
        <f t="shared" ref="P253:P271" si="41">E253+J253</f>
        <v>8524267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429</v>
      </c>
      <c r="B255" s="55" t="s">
        <v>430</v>
      </c>
      <c r="C255" s="35" t="s">
        <v>308</v>
      </c>
      <c r="D255" s="128" t="s">
        <v>431</v>
      </c>
      <c r="E255" s="38">
        <f>F255+I255</f>
        <v>432233</v>
      </c>
      <c r="F255" s="38">
        <f>1500000-1013000-54767</f>
        <v>432233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458883</v>
      </c>
    </row>
    <row r="256" spans="1:18" ht="29.25" customHeight="1" x14ac:dyDescent="0.3">
      <c r="A256" s="34" t="s">
        <v>432</v>
      </c>
      <c r="B256" s="55" t="s">
        <v>433</v>
      </c>
      <c r="C256" s="35" t="s">
        <v>308</v>
      </c>
      <c r="D256" s="73" t="s">
        <v>434</v>
      </c>
      <c r="E256" s="38">
        <f>F256</f>
        <v>427350</v>
      </c>
      <c r="F256" s="44">
        <f>154000+273350</f>
        <v>427350</v>
      </c>
      <c r="G256" s="44"/>
      <c r="H256" s="44"/>
      <c r="I256" s="44"/>
      <c r="J256" s="38">
        <f t="shared" si="42"/>
        <v>0</v>
      </c>
      <c r="K256" s="44"/>
      <c r="L256" s="44"/>
      <c r="M256" s="44"/>
      <c r="N256" s="44"/>
      <c r="O256" s="44">
        <f t="shared" si="43"/>
        <v>0</v>
      </c>
      <c r="P256" s="23">
        <f>E256+J256</f>
        <v>427350</v>
      </c>
    </row>
    <row r="257" spans="1:18" ht="30.75" customHeight="1" x14ac:dyDescent="0.3">
      <c r="A257" s="34" t="s">
        <v>705</v>
      </c>
      <c r="B257" s="55" t="s">
        <v>374</v>
      </c>
      <c r="C257" s="35" t="s">
        <v>308</v>
      </c>
      <c r="D257" s="73" t="s">
        <v>706</v>
      </c>
      <c r="E257" s="38">
        <f>F257</f>
        <v>1879000</v>
      </c>
      <c r="F257" s="44">
        <f>1859000+20000</f>
        <v>1879000</v>
      </c>
      <c r="G257" s="44">
        <v>1440000</v>
      </c>
      <c r="H257" s="44"/>
      <c r="I257" s="44"/>
      <c r="J257" s="38">
        <f t="shared" si="42"/>
        <v>0</v>
      </c>
      <c r="K257" s="44"/>
      <c r="L257" s="44"/>
      <c r="M257" s="44"/>
      <c r="N257" s="44"/>
      <c r="O257" s="44">
        <f t="shared" si="43"/>
        <v>0</v>
      </c>
      <c r="P257" s="23">
        <f>E257+J257</f>
        <v>1879000</v>
      </c>
    </row>
    <row r="258" spans="1:18" ht="26.25" customHeight="1" x14ac:dyDescent="0.3">
      <c r="A258" s="19">
        <v>1000000</v>
      </c>
      <c r="B258" s="20"/>
      <c r="C258" s="21"/>
      <c r="D258" s="22" t="s">
        <v>435</v>
      </c>
      <c r="E258" s="57">
        <f>E260</f>
        <v>39238600</v>
      </c>
      <c r="F258" s="57">
        <f t="shared" ref="F258:O258" si="45">F260</f>
        <v>39238600</v>
      </c>
      <c r="G258" s="57">
        <f t="shared" si="45"/>
        <v>28842500</v>
      </c>
      <c r="H258" s="57">
        <f t="shared" si="45"/>
        <v>388400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39812600</v>
      </c>
      <c r="Q258" s="78"/>
      <c r="R258" s="24"/>
    </row>
    <row r="259" spans="1:18" hidden="1" x14ac:dyDescent="0.3">
      <c r="A259" s="19"/>
      <c r="B259" s="20"/>
      <c r="C259" s="21"/>
      <c r="D259" s="53" t="s">
        <v>52</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436</v>
      </c>
      <c r="B260" s="55"/>
      <c r="C260" s="21"/>
      <c r="D260" s="28" t="s">
        <v>435</v>
      </c>
      <c r="E260" s="57">
        <f>E261+E262+E265+E267+E268+E270+E271+E264</f>
        <v>39238600</v>
      </c>
      <c r="F260" s="57">
        <f>F261+F262+F265+F267+F268+F270+F271+F264</f>
        <v>39238600</v>
      </c>
      <c r="G260" s="57">
        <f>G261+G262+G265+G267+G268+G270+G271</f>
        <v>28842500</v>
      </c>
      <c r="H260" s="57">
        <f>H261+H262+H265+H267+H268+H270+H271</f>
        <v>388400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39812600</v>
      </c>
    </row>
    <row r="261" spans="1:18" s="104" customFormat="1" ht="28.5" customHeight="1" x14ac:dyDescent="0.3">
      <c r="A261" s="99" t="s">
        <v>437</v>
      </c>
      <c r="B261" s="100" t="s">
        <v>31</v>
      </c>
      <c r="C261" s="100" t="s">
        <v>24</v>
      </c>
      <c r="D261" s="111" t="s">
        <v>113</v>
      </c>
      <c r="E261" s="102">
        <f t="shared" ref="E261:E271" si="48">F261+I261</f>
        <v>5410100</v>
      </c>
      <c r="F261" s="107">
        <f>3646500+650000+7500+1106100</f>
        <v>5410100</v>
      </c>
      <c r="G261" s="107">
        <f>2439200+626000</f>
        <v>3065200</v>
      </c>
      <c r="H261" s="130">
        <f>144000+44400</f>
        <v>188400</v>
      </c>
      <c r="I261" s="107"/>
      <c r="J261" s="102">
        <f t="shared" ref="J261:J271" si="49">L261+O261</f>
        <v>200000</v>
      </c>
      <c r="K261" s="107">
        <v>200000</v>
      </c>
      <c r="L261" s="107"/>
      <c r="M261" s="107"/>
      <c r="N261" s="107"/>
      <c r="O261" s="107">
        <v>200000</v>
      </c>
      <c r="P261" s="103">
        <f>E261+J261</f>
        <v>5610100</v>
      </c>
    </row>
    <row r="262" spans="1:18" s="104" customFormat="1" ht="24.75" customHeight="1" x14ac:dyDescent="0.3">
      <c r="A262" s="99" t="s">
        <v>438</v>
      </c>
      <c r="B262" s="105" t="s">
        <v>439</v>
      </c>
      <c r="C262" s="105" t="s">
        <v>137</v>
      </c>
      <c r="D262" s="117" t="s">
        <v>440</v>
      </c>
      <c r="E262" s="102">
        <f>F262+I262</f>
        <v>10733300</v>
      </c>
      <c r="F262" s="107">
        <f>11132800-7500-392000</f>
        <v>10733300</v>
      </c>
      <c r="G262" s="107">
        <f>9050700-430000</f>
        <v>8620700</v>
      </c>
      <c r="H262" s="107">
        <v>100000</v>
      </c>
      <c r="I262" s="107"/>
      <c r="J262" s="102">
        <f>L262+O262</f>
        <v>145000</v>
      </c>
      <c r="K262" s="107">
        <v>100000</v>
      </c>
      <c r="L262" s="107">
        <v>45000</v>
      </c>
      <c r="M262" s="107">
        <v>25000</v>
      </c>
      <c r="N262" s="107"/>
      <c r="O262" s="107">
        <v>100000</v>
      </c>
      <c r="P262" s="103">
        <f>E262+J262</f>
        <v>10878300</v>
      </c>
    </row>
    <row r="263" spans="1:18" s="31" customFormat="1" ht="13.2" hidden="1" x14ac:dyDescent="0.25">
      <c r="A263" s="41"/>
      <c r="B263" s="52"/>
      <c r="C263" s="52"/>
      <c r="D263" s="53" t="s">
        <v>52</v>
      </c>
      <c r="E263" s="29"/>
      <c r="F263" s="59"/>
      <c r="G263" s="59"/>
      <c r="H263" s="59"/>
      <c r="I263" s="59"/>
      <c r="J263" s="29">
        <f>L263+O263</f>
        <v>0</v>
      </c>
      <c r="K263" s="59"/>
      <c r="L263" s="59"/>
      <c r="M263" s="59"/>
      <c r="N263" s="59"/>
      <c r="O263" s="59"/>
      <c r="P263" s="30">
        <f>E263+J263</f>
        <v>0</v>
      </c>
    </row>
    <row r="264" spans="1:18" s="104" customFormat="1" ht="26.25" customHeight="1" x14ac:dyDescent="0.3">
      <c r="A264" s="99" t="s">
        <v>441</v>
      </c>
      <c r="B264" s="105" t="s">
        <v>383</v>
      </c>
      <c r="C264" s="116" t="s">
        <v>308</v>
      </c>
      <c r="D264" s="118" t="s">
        <v>384</v>
      </c>
      <c r="E264" s="102">
        <f>F264+I264</f>
        <v>1480000</v>
      </c>
      <c r="F264" s="107">
        <f>1000000+480000</f>
        <v>1480000</v>
      </c>
      <c r="G264" s="107">
        <v>0</v>
      </c>
      <c r="H264" s="107"/>
      <c r="I264" s="107"/>
      <c r="J264" s="102">
        <f>L264+O264</f>
        <v>0</v>
      </c>
      <c r="K264" s="107"/>
      <c r="L264" s="107"/>
      <c r="M264" s="107"/>
      <c r="N264" s="107"/>
      <c r="O264" s="107"/>
      <c r="P264" s="103">
        <f>E264+J264</f>
        <v>1480000</v>
      </c>
    </row>
    <row r="265" spans="1:18" s="104" customFormat="1" ht="23.25" customHeight="1" x14ac:dyDescent="0.3">
      <c r="A265" s="99" t="s">
        <v>442</v>
      </c>
      <c r="B265" s="105" t="s">
        <v>443</v>
      </c>
      <c r="C265" s="105" t="s">
        <v>444</v>
      </c>
      <c r="D265" s="117" t="s">
        <v>445</v>
      </c>
      <c r="E265" s="102">
        <f t="shared" si="48"/>
        <v>5428500</v>
      </c>
      <c r="F265" s="107">
        <f>6208500-780000</f>
        <v>5428500</v>
      </c>
      <c r="G265" s="107">
        <f>5081300-690000</f>
        <v>4391300</v>
      </c>
      <c r="H265" s="107"/>
      <c r="I265" s="107"/>
      <c r="J265" s="102">
        <f>L265+O265</f>
        <v>7000</v>
      </c>
      <c r="K265" s="112"/>
      <c r="L265" s="107">
        <v>7000</v>
      </c>
      <c r="M265" s="107"/>
      <c r="N265" s="107"/>
      <c r="O265" s="112"/>
      <c r="P265" s="103">
        <f t="shared" si="41"/>
        <v>5435500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s="104" customFormat="1" ht="20.25" customHeight="1" x14ac:dyDescent="0.3">
      <c r="A267" s="99" t="s">
        <v>446</v>
      </c>
      <c r="B267" s="100" t="s">
        <v>447</v>
      </c>
      <c r="C267" s="100" t="s">
        <v>444</v>
      </c>
      <c r="D267" s="111" t="s">
        <v>448</v>
      </c>
      <c r="E267" s="102">
        <f t="shared" si="48"/>
        <v>4313500</v>
      </c>
      <c r="F267" s="107">
        <f>4296500+17000</f>
        <v>4313500</v>
      </c>
      <c r="G267" s="107">
        <v>3346100</v>
      </c>
      <c r="H267" s="107">
        <v>100000</v>
      </c>
      <c r="I267" s="107"/>
      <c r="J267" s="102">
        <f t="shared" si="49"/>
        <v>111000</v>
      </c>
      <c r="K267" s="107">
        <v>100000</v>
      </c>
      <c r="L267" s="107">
        <v>11000</v>
      </c>
      <c r="M267" s="107">
        <v>4900</v>
      </c>
      <c r="N267" s="107"/>
      <c r="O267" s="107">
        <v>100000</v>
      </c>
      <c r="P267" s="103">
        <f t="shared" si="41"/>
        <v>4424500</v>
      </c>
    </row>
    <row r="268" spans="1:18" s="104" customFormat="1" ht="39" customHeight="1" x14ac:dyDescent="0.3">
      <c r="A268" s="99" t="s">
        <v>449</v>
      </c>
      <c r="B268" s="105" t="s">
        <v>450</v>
      </c>
      <c r="C268" s="105" t="s">
        <v>451</v>
      </c>
      <c r="D268" s="106" t="s">
        <v>452</v>
      </c>
      <c r="E268" s="102">
        <f t="shared" si="48"/>
        <v>6963000</v>
      </c>
      <c r="F268" s="107">
        <f>6563000+400000</f>
        <v>6963000</v>
      </c>
      <c r="G268" s="107">
        <f>5356000+250000</f>
        <v>5606000</v>
      </c>
      <c r="H268" s="107"/>
      <c r="I268" s="107"/>
      <c r="J268" s="102">
        <f t="shared" si="49"/>
        <v>11000</v>
      </c>
      <c r="K268" s="107"/>
      <c r="L268" s="107">
        <v>11000</v>
      </c>
      <c r="M268" s="107">
        <v>4900</v>
      </c>
      <c r="N268" s="107">
        <v>0</v>
      </c>
      <c r="O268" s="107"/>
      <c r="P268" s="103">
        <f t="shared" si="41"/>
        <v>6974000</v>
      </c>
    </row>
    <row r="269" spans="1:18" hidden="1" x14ac:dyDescent="0.3">
      <c r="A269" s="34" t="s">
        <v>453</v>
      </c>
      <c r="B269" s="51" t="s">
        <v>454</v>
      </c>
      <c r="C269" s="51"/>
      <c r="D269" s="40" t="s">
        <v>455</v>
      </c>
      <c r="E269" s="38">
        <f t="shared" si="48"/>
        <v>0</v>
      </c>
      <c r="F269" s="44"/>
      <c r="G269" s="44"/>
      <c r="H269" s="44"/>
      <c r="I269" s="44">
        <f>I270+I271</f>
        <v>0</v>
      </c>
      <c r="J269" s="38">
        <f t="shared" si="49"/>
        <v>0</v>
      </c>
      <c r="K269" s="44"/>
      <c r="L269" s="44"/>
      <c r="M269" s="44"/>
      <c r="N269" s="44"/>
      <c r="O269" s="44"/>
      <c r="P269" s="23">
        <f t="shared" si="41"/>
        <v>0</v>
      </c>
    </row>
    <row r="270" spans="1:18" s="104" customFormat="1" ht="24" customHeight="1" x14ac:dyDescent="0.3">
      <c r="A270" s="99" t="s">
        <v>456</v>
      </c>
      <c r="B270" s="105" t="s">
        <v>457</v>
      </c>
      <c r="C270" s="105" t="s">
        <v>458</v>
      </c>
      <c r="D270" s="117" t="s">
        <v>459</v>
      </c>
      <c r="E270" s="102">
        <f t="shared" si="48"/>
        <v>4840200</v>
      </c>
      <c r="F270" s="107">
        <f>4645200+195000</f>
        <v>4840200</v>
      </c>
      <c r="G270" s="107">
        <f>3653200+160000</f>
        <v>3813200</v>
      </c>
      <c r="H270" s="107"/>
      <c r="I270" s="107"/>
      <c r="J270" s="102">
        <f t="shared" si="49"/>
        <v>100000</v>
      </c>
      <c r="K270" s="107">
        <v>100000</v>
      </c>
      <c r="L270" s="107"/>
      <c r="M270" s="107"/>
      <c r="N270" s="107"/>
      <c r="O270" s="107">
        <v>100000</v>
      </c>
      <c r="P270" s="103">
        <f t="shared" si="41"/>
        <v>4940200</v>
      </c>
    </row>
    <row r="271" spans="1:18" s="104" customFormat="1" ht="27.75" customHeight="1" x14ac:dyDescent="0.3">
      <c r="A271" s="99" t="s">
        <v>460</v>
      </c>
      <c r="B271" s="105" t="s">
        <v>461</v>
      </c>
      <c r="C271" s="105" t="s">
        <v>458</v>
      </c>
      <c r="D271" s="117" t="s">
        <v>462</v>
      </c>
      <c r="E271" s="102">
        <f t="shared" si="48"/>
        <v>70000</v>
      </c>
      <c r="F271" s="107">
        <f>500000-430000</f>
        <v>70000</v>
      </c>
      <c r="G271" s="107">
        <v>0</v>
      </c>
      <c r="H271" s="107"/>
      <c r="I271" s="107"/>
      <c r="J271" s="102">
        <f t="shared" si="49"/>
        <v>0</v>
      </c>
      <c r="K271" s="107"/>
      <c r="L271" s="107"/>
      <c r="M271" s="107"/>
      <c r="N271" s="107"/>
      <c r="O271" s="107"/>
      <c r="P271" s="103">
        <f t="shared" si="41"/>
        <v>70000</v>
      </c>
    </row>
    <row r="272" spans="1:18" ht="36.75" customHeight="1" x14ac:dyDescent="0.3">
      <c r="A272" s="19" t="s">
        <v>692</v>
      </c>
      <c r="B272" s="20"/>
      <c r="C272" s="79"/>
      <c r="D272" s="22" t="s">
        <v>463</v>
      </c>
      <c r="E272" s="57">
        <f>E273</f>
        <v>16908690</v>
      </c>
      <c r="F272" s="57">
        <f>F273</f>
        <v>16908690</v>
      </c>
      <c r="G272" s="57">
        <f>G273</f>
        <v>11766100</v>
      </c>
      <c r="H272" s="57">
        <f>H273</f>
        <v>322600</v>
      </c>
      <c r="I272" s="57">
        <f>I273</f>
        <v>0</v>
      </c>
      <c r="J272" s="57">
        <f t="shared" ref="J272:P272" si="50">J273</f>
        <v>150000</v>
      </c>
      <c r="K272" s="57">
        <f>K273</f>
        <v>150000</v>
      </c>
      <c r="L272" s="57">
        <f t="shared" si="50"/>
        <v>0</v>
      </c>
      <c r="M272" s="57">
        <f t="shared" si="50"/>
        <v>0</v>
      </c>
      <c r="N272" s="57">
        <f t="shared" si="50"/>
        <v>0</v>
      </c>
      <c r="O272" s="57">
        <f t="shared" si="50"/>
        <v>150000</v>
      </c>
      <c r="P272" s="57">
        <f t="shared" si="50"/>
        <v>17058690</v>
      </c>
      <c r="R272" s="24"/>
    </row>
    <row r="273" spans="1:16" ht="30" customHeight="1" x14ac:dyDescent="0.3">
      <c r="A273" s="34">
        <v>1110000</v>
      </c>
      <c r="B273" s="55"/>
      <c r="C273" s="79"/>
      <c r="D273" s="28" t="s">
        <v>463</v>
      </c>
      <c r="E273" s="57">
        <f>E274+E277+E278+E280+E282+E285+E287+E288</f>
        <v>16908690</v>
      </c>
      <c r="F273" s="57">
        <f>F274+F277+F278+F280+F282+F285+F287+F288</f>
        <v>16908690</v>
      </c>
      <c r="G273" s="57">
        <f>G274+G264+G277+G278+G280+G282+G285+G287+G288</f>
        <v>11766100</v>
      </c>
      <c r="H273" s="57">
        <f>H274+H264+H277+H278+H280+H282+H285+H287+H288</f>
        <v>322600</v>
      </c>
      <c r="I273" s="57">
        <f>I274+I264+I277+I278+I280+I282+I285+I287+I288</f>
        <v>0</v>
      </c>
      <c r="J273" s="57">
        <f>J274+J282+J285+J288+J287</f>
        <v>150000</v>
      </c>
      <c r="K273" s="57">
        <f>K274+K275+K276+K281+K284+K279+K286+K285+K288+K287</f>
        <v>150000</v>
      </c>
      <c r="L273" s="57">
        <f>L274+L275+L276+L281+L284+L279+L286+L285</f>
        <v>0</v>
      </c>
      <c r="M273" s="57">
        <f>M274+M275+M276+M281+M284+M279+M286+M285</f>
        <v>0</v>
      </c>
      <c r="N273" s="57">
        <f>N274+N275+N276+N281+N284+N279+N286+N285</f>
        <v>0</v>
      </c>
      <c r="O273" s="57">
        <f>O274+O275+O276+O281+O284+O279+O286+O285</f>
        <v>150000</v>
      </c>
      <c r="P273" s="57">
        <f>P274+P277+P278+P280+P282+P285+P287+P288</f>
        <v>17058690</v>
      </c>
    </row>
    <row r="274" spans="1:16" ht="33.75" customHeight="1" x14ac:dyDescent="0.3">
      <c r="A274" s="34" t="s">
        <v>464</v>
      </c>
      <c r="B274" s="35" t="s">
        <v>31</v>
      </c>
      <c r="C274" s="80" t="s">
        <v>24</v>
      </c>
      <c r="D274" s="56" t="s">
        <v>113</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465</v>
      </c>
      <c r="B275" s="51" t="s">
        <v>380</v>
      </c>
      <c r="C275" s="81"/>
      <c r="D275" s="66" t="s">
        <v>381</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466</v>
      </c>
      <c r="C276" s="81"/>
      <c r="D276" s="36" t="s">
        <v>467</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468</v>
      </c>
      <c r="C277" s="81" t="s">
        <v>469</v>
      </c>
      <c r="D277" s="40" t="s">
        <v>470</v>
      </c>
      <c r="E277" s="38">
        <f t="shared" si="51"/>
        <v>320000</v>
      </c>
      <c r="F277" s="44">
        <f>160000+3000+57000+100000</f>
        <v>320000</v>
      </c>
      <c r="G277" s="44"/>
      <c r="H277" s="44"/>
      <c r="I277" s="44"/>
      <c r="J277" s="38">
        <f t="shared" si="53"/>
        <v>0</v>
      </c>
      <c r="K277" s="44"/>
      <c r="L277" s="44"/>
      <c r="M277" s="44"/>
      <c r="N277" s="44"/>
      <c r="O277" s="44">
        <f t="shared" si="54"/>
        <v>0</v>
      </c>
      <c r="P277" s="23">
        <f t="shared" si="52"/>
        <v>320000</v>
      </c>
    </row>
    <row r="278" spans="1:16" ht="34.5" customHeight="1" x14ac:dyDescent="0.3">
      <c r="A278" s="34">
        <v>1115012</v>
      </c>
      <c r="B278" s="51" t="s">
        <v>471</v>
      </c>
      <c r="C278" s="81" t="s">
        <v>469</v>
      </c>
      <c r="D278" s="36" t="s">
        <v>472</v>
      </c>
      <c r="E278" s="38">
        <f t="shared" si="51"/>
        <v>348000</v>
      </c>
      <c r="F278" s="44">
        <f>305000-57000+100000</f>
        <v>348000</v>
      </c>
      <c r="G278" s="44"/>
      <c r="H278" s="44"/>
      <c r="I278" s="44"/>
      <c r="J278" s="38">
        <f t="shared" si="53"/>
        <v>0</v>
      </c>
      <c r="K278" s="44"/>
      <c r="L278" s="44"/>
      <c r="M278" s="44"/>
      <c r="N278" s="44"/>
      <c r="O278" s="44">
        <f t="shared" si="54"/>
        <v>0</v>
      </c>
      <c r="P278" s="23">
        <f t="shared" si="52"/>
        <v>348000</v>
      </c>
    </row>
    <row r="279" spans="1:16" ht="15.75" hidden="1" customHeight="1" x14ac:dyDescent="0.3">
      <c r="A279" s="34" t="s">
        <v>473</v>
      </c>
      <c r="B279" s="51" t="s">
        <v>474</v>
      </c>
      <c r="C279" s="81"/>
      <c r="D279" s="66" t="s">
        <v>475</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476</v>
      </c>
      <c r="B280" s="51" t="s">
        <v>477</v>
      </c>
      <c r="C280" s="81" t="s">
        <v>469</v>
      </c>
      <c r="D280" s="36" t="s">
        <v>478</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479</v>
      </c>
      <c r="C281" s="81"/>
      <c r="D281" s="40" t="s">
        <v>480</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481</v>
      </c>
      <c r="C282" s="81" t="s">
        <v>469</v>
      </c>
      <c r="D282" s="40" t="s">
        <v>482</v>
      </c>
      <c r="E282" s="38">
        <f t="shared" si="51"/>
        <v>7920890</v>
      </c>
      <c r="F282" s="44">
        <f>9640090-1089200-630000</f>
        <v>7920890</v>
      </c>
      <c r="G282" s="44">
        <f>7910000-901100-600000</f>
        <v>6408900</v>
      </c>
      <c r="H282" s="44"/>
      <c r="I282" s="44"/>
      <c r="J282" s="38">
        <f>L282+O282</f>
        <v>0</v>
      </c>
      <c r="K282" s="44"/>
      <c r="L282" s="44"/>
      <c r="M282" s="44"/>
      <c r="N282" s="44"/>
      <c r="O282" s="44">
        <f t="shared" si="54"/>
        <v>0</v>
      </c>
      <c r="P282" s="23">
        <f t="shared" si="52"/>
        <v>7920890</v>
      </c>
    </row>
    <row r="283" spans="1:16" s="31" customFormat="1" ht="18" hidden="1" customHeight="1" x14ac:dyDescent="0.25">
      <c r="A283" s="41"/>
      <c r="B283" s="52"/>
      <c r="C283" s="82"/>
      <c r="D283" s="53" t="s">
        <v>52</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483</v>
      </c>
      <c r="C284" s="81"/>
      <c r="D284" s="40" t="s">
        <v>484</v>
      </c>
      <c r="E284" s="38">
        <f>E285</f>
        <v>0</v>
      </c>
      <c r="F284" s="38"/>
      <c r="G284" s="38"/>
      <c r="H284" s="38"/>
      <c r="I284" s="38">
        <f>I285</f>
        <v>0</v>
      </c>
      <c r="J284" s="38">
        <f t="shared" si="53"/>
        <v>0</v>
      </c>
      <c r="K284" s="38"/>
      <c r="L284" s="38"/>
      <c r="M284" s="38"/>
      <c r="N284" s="38"/>
      <c r="O284" s="44">
        <f t="shared" si="54"/>
        <v>0</v>
      </c>
      <c r="P284" s="23">
        <f t="shared" si="52"/>
        <v>0</v>
      </c>
    </row>
    <row r="285" spans="1:16" ht="31.95" hidden="1" customHeight="1" x14ac:dyDescent="0.3">
      <c r="A285" s="34">
        <v>1115041</v>
      </c>
      <c r="B285" s="51" t="s">
        <v>485</v>
      </c>
      <c r="C285" s="81" t="s">
        <v>469</v>
      </c>
      <c r="D285" s="36" t="s">
        <v>486</v>
      </c>
      <c r="E285" s="38">
        <f t="shared" si="51"/>
        <v>0</v>
      </c>
      <c r="F285" s="44"/>
      <c r="G285" s="44"/>
      <c r="H285" s="44"/>
      <c r="I285" s="44"/>
      <c r="J285" s="38">
        <f t="shared" si="53"/>
        <v>0</v>
      </c>
      <c r="K285" s="44"/>
      <c r="L285" s="44"/>
      <c r="M285" s="44"/>
      <c r="N285" s="44"/>
      <c r="O285" s="44">
        <f t="shared" si="54"/>
        <v>0</v>
      </c>
      <c r="P285" s="23">
        <f t="shared" si="52"/>
        <v>0</v>
      </c>
    </row>
    <row r="286" spans="1:16" ht="12.75" hidden="1" customHeight="1" x14ac:dyDescent="0.3">
      <c r="A286" s="34" t="s">
        <v>487</v>
      </c>
      <c r="B286" s="51" t="s">
        <v>488</v>
      </c>
      <c r="C286" s="81"/>
      <c r="D286" s="40" t="s">
        <v>489</v>
      </c>
      <c r="E286" s="38">
        <f>E287+E288</f>
        <v>5140000</v>
      </c>
      <c r="F286" s="38"/>
      <c r="G286" s="38"/>
      <c r="H286" s="38"/>
      <c r="I286" s="38">
        <f t="shared" ref="I286:O286" si="56">I287+I288</f>
        <v>0</v>
      </c>
      <c r="J286" s="38">
        <f t="shared" si="56"/>
        <v>100000</v>
      </c>
      <c r="K286" s="38"/>
      <c r="L286" s="38"/>
      <c r="M286" s="38"/>
      <c r="N286" s="38"/>
      <c r="O286" s="38">
        <f t="shared" si="56"/>
        <v>100000</v>
      </c>
      <c r="P286" s="23">
        <f t="shared" si="52"/>
        <v>5240000</v>
      </c>
    </row>
    <row r="287" spans="1:16" s="31" customFormat="1" ht="41.25" customHeight="1" x14ac:dyDescent="0.25">
      <c r="A287" s="41" t="s">
        <v>490</v>
      </c>
      <c r="B287" s="52" t="s">
        <v>491</v>
      </c>
      <c r="C287" s="82" t="s">
        <v>469</v>
      </c>
      <c r="D287" s="40" t="s">
        <v>492</v>
      </c>
      <c r="E287" s="38">
        <f t="shared" si="51"/>
        <v>4407200</v>
      </c>
      <c r="F287" s="44">
        <f>1793400+2051300+132500+430000</f>
        <v>4407200</v>
      </c>
      <c r="G287" s="44">
        <f>1220000+975200+100000</f>
        <v>2295200</v>
      </c>
      <c r="H287" s="44">
        <f>312600-90000</f>
        <v>222600</v>
      </c>
      <c r="I287" s="44"/>
      <c r="J287" s="38">
        <f t="shared" si="53"/>
        <v>100000</v>
      </c>
      <c r="K287" s="44">
        <v>100000</v>
      </c>
      <c r="L287" s="59"/>
      <c r="M287" s="59"/>
      <c r="N287" s="59"/>
      <c r="O287" s="44">
        <f>K287</f>
        <v>100000</v>
      </c>
      <c r="P287" s="23">
        <f t="shared" si="52"/>
        <v>4507200</v>
      </c>
    </row>
    <row r="288" spans="1:16" s="31" customFormat="1" ht="24" customHeight="1" x14ac:dyDescent="0.25">
      <c r="A288" s="41" t="s">
        <v>493</v>
      </c>
      <c r="B288" s="52" t="s">
        <v>494</v>
      </c>
      <c r="C288" s="82" t="s">
        <v>469</v>
      </c>
      <c r="D288" s="54" t="s">
        <v>495</v>
      </c>
      <c r="E288" s="38">
        <f t="shared" si="51"/>
        <v>732800</v>
      </c>
      <c r="F288" s="44">
        <f>315600+417200</f>
        <v>732800</v>
      </c>
      <c r="G288" s="44">
        <f>230000+342000</f>
        <v>572000</v>
      </c>
      <c r="H288" s="44"/>
      <c r="I288" s="44"/>
      <c r="J288" s="38">
        <f t="shared" si="53"/>
        <v>0</v>
      </c>
      <c r="K288" s="44">
        <v>0</v>
      </c>
      <c r="L288" s="59"/>
      <c r="M288" s="59"/>
      <c r="N288" s="59"/>
      <c r="O288" s="44">
        <f>K288</f>
        <v>0</v>
      </c>
      <c r="P288" s="30">
        <f t="shared" si="52"/>
        <v>732800</v>
      </c>
    </row>
    <row r="289" spans="1:18" ht="26.4" hidden="1" x14ac:dyDescent="0.3">
      <c r="A289" s="19">
        <v>1200000</v>
      </c>
      <c r="B289" s="20"/>
      <c r="C289" s="21"/>
      <c r="D289" s="22" t="s">
        <v>496</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52</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497</v>
      </c>
      <c r="B291" s="55"/>
      <c r="C291" s="21"/>
      <c r="D291" s="28" t="s">
        <v>498</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499</v>
      </c>
      <c r="B292" s="35" t="s">
        <v>31</v>
      </c>
      <c r="C292" s="35" t="s">
        <v>24</v>
      </c>
      <c r="D292" s="56" t="s">
        <v>113</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500</v>
      </c>
      <c r="C293" s="35" t="s">
        <v>501</v>
      </c>
      <c r="D293" s="61" t="s">
        <v>502</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503</v>
      </c>
      <c r="B294" s="35" t="s">
        <v>500</v>
      </c>
      <c r="C294" s="35"/>
      <c r="D294" s="83" t="s">
        <v>504</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505</v>
      </c>
      <c r="B295" s="42" t="s">
        <v>506</v>
      </c>
      <c r="C295" s="42" t="s">
        <v>501</v>
      </c>
      <c r="D295" s="68" t="s">
        <v>507</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52</v>
      </c>
      <c r="E296" s="29"/>
      <c r="F296" s="59"/>
      <c r="G296" s="59"/>
      <c r="H296" s="59"/>
      <c r="I296" s="59"/>
      <c r="J296" s="38">
        <f t="shared" si="61"/>
        <v>0</v>
      </c>
      <c r="K296" s="59"/>
      <c r="L296" s="59"/>
      <c r="M296" s="59"/>
      <c r="N296" s="59"/>
      <c r="O296" s="44">
        <f t="shared" si="59"/>
        <v>0</v>
      </c>
      <c r="P296" s="23">
        <f t="shared" si="60"/>
        <v>0</v>
      </c>
    </row>
    <row r="297" spans="1:18" hidden="1" x14ac:dyDescent="0.3">
      <c r="A297" s="34" t="s">
        <v>508</v>
      </c>
      <c r="B297" s="35" t="s">
        <v>509</v>
      </c>
      <c r="C297" s="35" t="s">
        <v>510</v>
      </c>
      <c r="D297" s="36" t="s">
        <v>511</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512</v>
      </c>
      <c r="B298" s="42" t="s">
        <v>513</v>
      </c>
      <c r="C298" s="42" t="s">
        <v>510</v>
      </c>
      <c r="D298" s="68" t="s">
        <v>514</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515</v>
      </c>
      <c r="B299" s="42" t="s">
        <v>516</v>
      </c>
      <c r="C299" s="42" t="s">
        <v>510</v>
      </c>
      <c r="D299" s="68" t="s">
        <v>517</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518</v>
      </c>
      <c r="B300" s="84">
        <v>6020</v>
      </c>
      <c r="C300" s="35" t="s">
        <v>510</v>
      </c>
      <c r="D300" s="40" t="s">
        <v>519</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85"/>
      <c r="C301" s="42"/>
      <c r="D301" s="28" t="s">
        <v>52</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518</v>
      </c>
      <c r="B302" s="84">
        <v>6020</v>
      </c>
      <c r="C302" s="35" t="s">
        <v>510</v>
      </c>
      <c r="D302" s="28" t="s">
        <v>519</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520</v>
      </c>
      <c r="B303" s="35" t="s">
        <v>521</v>
      </c>
      <c r="C303" s="35" t="s">
        <v>510</v>
      </c>
      <c r="D303" s="36" t="s">
        <v>522</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7" t="s">
        <v>523</v>
      </c>
      <c r="C304" s="77" t="s">
        <v>510</v>
      </c>
      <c r="D304" s="66" t="s">
        <v>517</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7"/>
      <c r="C305" s="77"/>
      <c r="D305" s="28" t="s">
        <v>52</v>
      </c>
      <c r="E305" s="29">
        <f t="shared" si="58"/>
        <v>0</v>
      </c>
      <c r="F305" s="59"/>
      <c r="G305" s="44"/>
      <c r="H305" s="44"/>
      <c r="I305" s="44"/>
      <c r="J305" s="38"/>
      <c r="K305" s="44"/>
      <c r="L305" s="44"/>
      <c r="M305" s="44"/>
      <c r="N305" s="44"/>
      <c r="O305" s="44"/>
      <c r="P305" s="30">
        <f t="shared" si="60"/>
        <v>0</v>
      </c>
    </row>
    <row r="306" spans="1:18" ht="15.6" hidden="1" x14ac:dyDescent="0.3">
      <c r="A306" s="34" t="s">
        <v>524</v>
      </c>
      <c r="B306" s="77" t="s">
        <v>525</v>
      </c>
      <c r="C306" s="77" t="s">
        <v>510</v>
      </c>
      <c r="D306" s="73" t="s">
        <v>526</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527</v>
      </c>
      <c r="B307" s="84">
        <v>6070</v>
      </c>
      <c r="C307" s="35"/>
      <c r="D307" s="66" t="s">
        <v>528</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18.8" hidden="1" x14ac:dyDescent="0.25">
      <c r="A308" s="41" t="s">
        <v>529</v>
      </c>
      <c r="B308" s="85">
        <v>6072</v>
      </c>
      <c r="C308" s="42" t="s">
        <v>530</v>
      </c>
      <c r="D308" s="43" t="s">
        <v>531</v>
      </c>
      <c r="E308" s="29">
        <f>F308+I308</f>
        <v>0</v>
      </c>
      <c r="F308" s="59"/>
      <c r="G308" s="59"/>
      <c r="H308" s="59"/>
      <c r="I308" s="59"/>
      <c r="J308" s="38">
        <f t="shared" si="61"/>
        <v>0</v>
      </c>
      <c r="K308" s="59"/>
      <c r="L308" s="59"/>
      <c r="M308" s="59"/>
      <c r="N308" s="59"/>
      <c r="O308" s="44">
        <f t="shared" si="59"/>
        <v>0</v>
      </c>
      <c r="P308" s="30"/>
    </row>
    <row r="309" spans="1:18" hidden="1" x14ac:dyDescent="0.3">
      <c r="A309" s="34" t="s">
        <v>532</v>
      </c>
      <c r="B309" s="77" t="s">
        <v>533</v>
      </c>
      <c r="C309" s="35" t="s">
        <v>534</v>
      </c>
      <c r="D309" s="56" t="s">
        <v>535</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536</v>
      </c>
      <c r="B310" s="55" t="s">
        <v>537</v>
      </c>
      <c r="C310" s="35"/>
      <c r="D310" s="36" t="s">
        <v>538</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539</v>
      </c>
      <c r="B311" s="86" t="s">
        <v>540</v>
      </c>
      <c r="C311" s="35" t="s">
        <v>541</v>
      </c>
      <c r="D311" s="36" t="s">
        <v>542</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543</v>
      </c>
      <c r="B312" s="87" t="s">
        <v>544</v>
      </c>
      <c r="C312" s="52" t="s">
        <v>541</v>
      </c>
      <c r="D312" s="64" t="s">
        <v>545</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87"/>
      <c r="C313" s="52"/>
      <c r="D313" s="28" t="s">
        <v>52</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546</v>
      </c>
      <c r="B314" s="87" t="s">
        <v>547</v>
      </c>
      <c r="C314" s="52" t="s">
        <v>541</v>
      </c>
      <c r="D314" s="64" t="s">
        <v>548</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549</v>
      </c>
      <c r="B315" s="55" t="s">
        <v>58</v>
      </c>
      <c r="C315" s="35" t="s">
        <v>59</v>
      </c>
      <c r="D315" s="36" t="s">
        <v>550</v>
      </c>
      <c r="E315" s="38"/>
      <c r="F315" s="44"/>
      <c r="G315" s="44"/>
      <c r="H315" s="44"/>
      <c r="I315" s="44"/>
      <c r="J315" s="38">
        <f>L315+O315</f>
        <v>0</v>
      </c>
      <c r="K315" s="44"/>
      <c r="L315" s="44"/>
      <c r="M315" s="44"/>
      <c r="N315" s="44"/>
      <c r="O315" s="44">
        <f t="shared" si="59"/>
        <v>0</v>
      </c>
      <c r="P315" s="23">
        <f t="shared" si="62"/>
        <v>0</v>
      </c>
    </row>
    <row r="316" spans="1:18" hidden="1" x14ac:dyDescent="0.3">
      <c r="A316" s="34" t="s">
        <v>551</v>
      </c>
      <c r="B316" s="55" t="s">
        <v>552</v>
      </c>
      <c r="C316" s="35" t="s">
        <v>530</v>
      </c>
      <c r="D316" s="40" t="s">
        <v>553</v>
      </c>
      <c r="E316" s="38"/>
      <c r="F316" s="44"/>
      <c r="G316" s="44"/>
      <c r="H316" s="44"/>
      <c r="I316" s="44"/>
      <c r="J316" s="38">
        <f>L316+O316</f>
        <v>0</v>
      </c>
      <c r="K316" s="44"/>
      <c r="L316" s="44"/>
      <c r="M316" s="44"/>
      <c r="N316" s="44"/>
      <c r="O316" s="44">
        <f t="shared" si="59"/>
        <v>0</v>
      </c>
      <c r="P316" s="23">
        <f t="shared" si="62"/>
        <v>0</v>
      </c>
    </row>
    <row r="317" spans="1:18" hidden="1" x14ac:dyDescent="0.3">
      <c r="A317" s="34" t="s">
        <v>554</v>
      </c>
      <c r="B317" s="35" t="s">
        <v>71</v>
      </c>
      <c r="C317" s="42" t="s">
        <v>59</v>
      </c>
      <c r="D317" s="49" t="s">
        <v>72</v>
      </c>
      <c r="E317" s="38">
        <f>F317+I317</f>
        <v>0</v>
      </c>
      <c r="F317" s="38"/>
      <c r="G317" s="38"/>
      <c r="H317" s="38"/>
      <c r="I317" s="38"/>
      <c r="J317" s="38">
        <f>L317+O317</f>
        <v>0</v>
      </c>
      <c r="K317" s="38"/>
      <c r="L317" s="38"/>
      <c r="M317" s="38"/>
      <c r="N317" s="38"/>
      <c r="O317" s="44"/>
      <c r="P317" s="23">
        <f t="shared" si="62"/>
        <v>0</v>
      </c>
    </row>
    <row r="318" spans="1:18" hidden="1" x14ac:dyDescent="0.3">
      <c r="A318" s="34" t="s">
        <v>555</v>
      </c>
      <c r="B318" s="35" t="s">
        <v>78</v>
      </c>
      <c r="C318" s="35" t="s">
        <v>79</v>
      </c>
      <c r="D318" s="48" t="s">
        <v>80</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556</v>
      </c>
      <c r="E319" s="57">
        <f>E328</f>
        <v>11662040</v>
      </c>
      <c r="F319" s="57">
        <f t="shared" ref="F319:P319" si="63">F328</f>
        <v>4263543</v>
      </c>
      <c r="G319" s="57">
        <f t="shared" si="63"/>
        <v>3249654</v>
      </c>
      <c r="H319" s="57">
        <f t="shared" si="63"/>
        <v>100000</v>
      </c>
      <c r="I319" s="57">
        <f t="shared" si="63"/>
        <v>7398497</v>
      </c>
      <c r="J319" s="57">
        <f t="shared" si="63"/>
        <v>300000</v>
      </c>
      <c r="K319" s="97">
        <f>K328</f>
        <v>300000</v>
      </c>
      <c r="L319" s="57">
        <f t="shared" si="63"/>
        <v>0</v>
      </c>
      <c r="M319" s="57">
        <f t="shared" si="63"/>
        <v>0</v>
      </c>
      <c r="N319" s="57">
        <f t="shared" si="63"/>
        <v>0</v>
      </c>
      <c r="O319" s="57">
        <f t="shared" si="63"/>
        <v>300000</v>
      </c>
      <c r="P319" s="57">
        <f t="shared" si="63"/>
        <v>11962040</v>
      </c>
      <c r="R319" s="24"/>
    </row>
    <row r="320" spans="1:18" s="31" customFormat="1" ht="13.2" hidden="1" x14ac:dyDescent="0.25">
      <c r="A320" s="41"/>
      <c r="B320" s="63"/>
      <c r="C320" s="42"/>
      <c r="D320" s="28" t="s">
        <v>52</v>
      </c>
      <c r="E320" s="59"/>
      <c r="F320" s="59"/>
      <c r="G320" s="59"/>
      <c r="H320" s="59"/>
      <c r="I320" s="59"/>
      <c r="J320" s="59">
        <f>L320+O320</f>
        <v>0</v>
      </c>
      <c r="K320" s="98">
        <f>K339+K361</f>
        <v>0</v>
      </c>
      <c r="L320" s="59"/>
      <c r="M320" s="59"/>
      <c r="N320" s="59"/>
      <c r="O320" s="59">
        <f>K320</f>
        <v>0</v>
      </c>
      <c r="P320" s="30">
        <f t="shared" si="62"/>
        <v>0</v>
      </c>
    </row>
    <row r="321" spans="1:17" s="31" customFormat="1" ht="52.8" hidden="1" x14ac:dyDescent="0.25">
      <c r="A321" s="41"/>
      <c r="B321" s="63"/>
      <c r="C321" s="42"/>
      <c r="D321" s="68" t="s">
        <v>557</v>
      </c>
      <c r="E321" s="59"/>
      <c r="F321" s="59"/>
      <c r="G321" s="59"/>
      <c r="H321" s="59"/>
      <c r="I321" s="59"/>
      <c r="J321" s="59">
        <f t="shared" ref="J321:O321" si="64">J360</f>
        <v>0</v>
      </c>
      <c r="K321" s="98">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8"/>
      <c r="E322" s="59"/>
      <c r="F322" s="59"/>
      <c r="G322" s="59"/>
      <c r="H322" s="59"/>
      <c r="I322" s="59"/>
      <c r="J322" s="59">
        <f t="shared" ref="J322:P322" si="65">J353</f>
        <v>0</v>
      </c>
      <c r="K322" s="98">
        <f t="shared" si="65"/>
        <v>0</v>
      </c>
      <c r="L322" s="59">
        <f t="shared" si="65"/>
        <v>0</v>
      </c>
      <c r="M322" s="59">
        <f t="shared" si="65"/>
        <v>0</v>
      </c>
      <c r="N322" s="59">
        <f t="shared" si="65"/>
        <v>0</v>
      </c>
      <c r="O322" s="59">
        <f t="shared" si="65"/>
        <v>0</v>
      </c>
      <c r="P322" s="58">
        <f t="shared" si="65"/>
        <v>0</v>
      </c>
    </row>
    <row r="323" spans="1:17" s="31" customFormat="1" ht="26.4" hidden="1" x14ac:dyDescent="0.25">
      <c r="A323" s="41"/>
      <c r="B323" s="63"/>
      <c r="C323" s="42"/>
      <c r="D323" s="68" t="s">
        <v>244</v>
      </c>
      <c r="E323" s="59">
        <f>E353</f>
        <v>0</v>
      </c>
      <c r="F323" s="59">
        <f>F353</f>
        <v>0</v>
      </c>
      <c r="G323" s="59"/>
      <c r="H323" s="59"/>
      <c r="I323" s="59"/>
      <c r="J323" s="59">
        <f t="shared" ref="J323:P323" si="66">J376+J357</f>
        <v>0</v>
      </c>
      <c r="K323" s="98">
        <f t="shared" si="66"/>
        <v>0</v>
      </c>
      <c r="L323" s="59">
        <f t="shared" si="66"/>
        <v>0</v>
      </c>
      <c r="M323" s="59">
        <f t="shared" si="66"/>
        <v>0</v>
      </c>
      <c r="N323" s="59">
        <f t="shared" si="66"/>
        <v>0</v>
      </c>
      <c r="O323" s="59">
        <f t="shared" si="66"/>
        <v>0</v>
      </c>
      <c r="P323" s="58">
        <f t="shared" si="66"/>
        <v>0</v>
      </c>
    </row>
    <row r="324" spans="1:17" s="31" customFormat="1" ht="26.4" hidden="1" x14ac:dyDescent="0.25">
      <c r="A324" s="41"/>
      <c r="B324" s="63"/>
      <c r="C324" s="42"/>
      <c r="D324" s="53" t="s">
        <v>184</v>
      </c>
      <c r="E324" s="59"/>
      <c r="F324" s="59"/>
      <c r="G324" s="59"/>
      <c r="H324" s="59"/>
      <c r="I324" s="59"/>
      <c r="J324" s="59">
        <f t="shared" ref="J324:O324" si="67">J378</f>
        <v>0</v>
      </c>
      <c r="K324" s="98">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558</v>
      </c>
      <c r="E325" s="59"/>
      <c r="F325" s="59"/>
      <c r="G325" s="59"/>
      <c r="H325" s="59"/>
      <c r="I325" s="59"/>
      <c r="J325" s="59">
        <f>L325+O325</f>
        <v>0</v>
      </c>
      <c r="K325" s="98">
        <f>O325</f>
        <v>0</v>
      </c>
      <c r="L325" s="59"/>
      <c r="M325" s="59"/>
      <c r="N325" s="59"/>
      <c r="O325" s="59">
        <f>O336</f>
        <v>0</v>
      </c>
      <c r="P325" s="30">
        <f t="shared" si="62"/>
        <v>0</v>
      </c>
    </row>
    <row r="326" spans="1:17" s="31" customFormat="1" ht="26.4" hidden="1" x14ac:dyDescent="0.25">
      <c r="A326" s="41"/>
      <c r="B326" s="63"/>
      <c r="C326" s="42"/>
      <c r="D326" s="43" t="s">
        <v>559</v>
      </c>
      <c r="E326" s="59"/>
      <c r="F326" s="59"/>
      <c r="G326" s="59"/>
      <c r="H326" s="59"/>
      <c r="I326" s="59"/>
      <c r="J326" s="59">
        <f t="shared" ref="J326:O326" si="68">J371</f>
        <v>0</v>
      </c>
      <c r="K326" s="98">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560</v>
      </c>
      <c r="E327" s="57">
        <f>F327+I327</f>
        <v>0</v>
      </c>
      <c r="F327" s="57"/>
      <c r="G327" s="57"/>
      <c r="H327" s="57"/>
      <c r="I327" s="57"/>
      <c r="J327" s="59">
        <f>L327+O327</f>
        <v>0</v>
      </c>
      <c r="K327" s="98">
        <f>SUM(K391)</f>
        <v>0</v>
      </c>
      <c r="L327" s="59"/>
      <c r="M327" s="59"/>
      <c r="N327" s="59"/>
      <c r="O327" s="59">
        <f>O391</f>
        <v>0</v>
      </c>
      <c r="P327" s="23">
        <f t="shared" si="62"/>
        <v>0</v>
      </c>
    </row>
    <row r="328" spans="1:17" ht="33.75" customHeight="1" x14ac:dyDescent="0.3">
      <c r="A328" s="34" t="s">
        <v>561</v>
      </c>
      <c r="B328" s="55"/>
      <c r="C328" s="21"/>
      <c r="D328" s="28" t="s">
        <v>556</v>
      </c>
      <c r="E328" s="57">
        <f>E329+E352+E381+E392+E354+E347+E379+E350</f>
        <v>11662040</v>
      </c>
      <c r="F328" s="57">
        <f>SUM(F329)</f>
        <v>4263543</v>
      </c>
      <c r="G328" s="57">
        <f>G329+G352+G381+G392</f>
        <v>3249654</v>
      </c>
      <c r="H328" s="57">
        <f>H329+H352+H381+H392</f>
        <v>100000</v>
      </c>
      <c r="I328" s="57">
        <f>SUM(I329+I350+I389)</f>
        <v>7398497</v>
      </c>
      <c r="J328" s="57">
        <f>SUM(J329:J389)</f>
        <v>300000</v>
      </c>
      <c r="K328" s="97">
        <f>K329+K331+K335+K338+K342+K345+K349+K352+K355+K356+K363+K364+K372+K374+K377+K381+K388+K389+K390+K348+K340+K334+K375+K336+K346+K347+K350+K351</f>
        <v>300000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11962040</v>
      </c>
      <c r="Q328" s="88"/>
    </row>
    <row r="329" spans="1:17" s="104" customFormat="1" ht="30.75" customHeight="1" x14ac:dyDescent="0.3">
      <c r="A329" s="99" t="s">
        <v>562</v>
      </c>
      <c r="B329" s="100" t="s">
        <v>31</v>
      </c>
      <c r="C329" s="100" t="s">
        <v>24</v>
      </c>
      <c r="D329" s="111" t="s">
        <v>113</v>
      </c>
      <c r="E329" s="129">
        <f t="shared" ref="E329:E386" si="69">F329+I329</f>
        <v>4263543</v>
      </c>
      <c r="F329" s="130">
        <f>5288440+823703+732408-800000-1781008</f>
        <v>4263543</v>
      </c>
      <c r="G329" s="130">
        <f>4007000+675157+600334-656000-1376837</f>
        <v>3249654</v>
      </c>
      <c r="H329" s="107">
        <v>100000</v>
      </c>
      <c r="I329" s="107"/>
      <c r="J329" s="102">
        <f t="shared" ref="J329" si="70">L329+O329</f>
        <v>200000</v>
      </c>
      <c r="K329" s="107">
        <f>300000-100000</f>
        <v>200000</v>
      </c>
      <c r="L329" s="107"/>
      <c r="M329" s="107"/>
      <c r="N329" s="107"/>
      <c r="O329" s="107">
        <f t="shared" ref="O329:O392" si="71">K329</f>
        <v>200000</v>
      </c>
      <c r="P329" s="103">
        <f t="shared" si="62"/>
        <v>4463543</v>
      </c>
    </row>
    <row r="330" spans="1:17" ht="16.5" hidden="1" customHeight="1" x14ac:dyDescent="0.3">
      <c r="A330" s="34" t="s">
        <v>563</v>
      </c>
      <c r="B330" s="51" t="s">
        <v>115</v>
      </c>
      <c r="C330" s="51" t="s">
        <v>116</v>
      </c>
      <c r="D330" s="40" t="s">
        <v>117</v>
      </c>
      <c r="E330" s="38">
        <f t="shared" si="69"/>
        <v>0</v>
      </c>
      <c r="F330" s="44"/>
      <c r="G330" s="44"/>
      <c r="H330" s="44"/>
      <c r="I330" s="44"/>
      <c r="J330" s="38">
        <f t="shared" ref="J330:J387" si="72">L330+O330</f>
        <v>0</v>
      </c>
      <c r="K330" s="44"/>
      <c r="L330" s="44"/>
      <c r="M330" s="44"/>
      <c r="N330" s="44"/>
      <c r="O330" s="44">
        <f t="shared" si="71"/>
        <v>0</v>
      </c>
      <c r="P330" s="23">
        <f t="shared" si="62"/>
        <v>0</v>
      </c>
    </row>
    <row r="331" spans="1:17" hidden="1" x14ac:dyDescent="0.3">
      <c r="A331" s="34" t="s">
        <v>564</v>
      </c>
      <c r="B331" s="51" t="s">
        <v>120</v>
      </c>
      <c r="C331" s="51" t="s">
        <v>121</v>
      </c>
      <c r="D331" s="36" t="s">
        <v>134</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8" t="s">
        <v>565</v>
      </c>
      <c r="E332" s="38"/>
      <c r="F332" s="44"/>
      <c r="G332" s="44"/>
      <c r="H332" s="44"/>
      <c r="I332" s="44"/>
      <c r="J332" s="38">
        <f t="shared" si="72"/>
        <v>0</v>
      </c>
      <c r="K332" s="44"/>
      <c r="L332" s="44"/>
      <c r="M332" s="44"/>
      <c r="N332" s="44"/>
      <c r="O332" s="44">
        <f t="shared" si="71"/>
        <v>0</v>
      </c>
      <c r="P332" s="23">
        <f>E332+J332</f>
        <v>0</v>
      </c>
    </row>
    <row r="333" spans="1:17" ht="26.4" hidden="1" x14ac:dyDescent="0.3">
      <c r="A333" s="34" t="s">
        <v>566</v>
      </c>
      <c r="B333" s="51" t="s">
        <v>247</v>
      </c>
      <c r="C333" s="51" t="s">
        <v>137</v>
      </c>
      <c r="D333" s="36" t="s">
        <v>138</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567</v>
      </c>
      <c r="B334" s="51" t="s">
        <v>568</v>
      </c>
      <c r="C334" s="51" t="s">
        <v>141</v>
      </c>
      <c r="D334" s="40" t="s">
        <v>569</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563</v>
      </c>
      <c r="B335" s="51" t="s">
        <v>115</v>
      </c>
      <c r="C335" s="51" t="s">
        <v>116</v>
      </c>
      <c r="D335" s="40" t="s">
        <v>117</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564</v>
      </c>
      <c r="B336" s="51" t="s">
        <v>120</v>
      </c>
      <c r="C336" s="51" t="s">
        <v>141</v>
      </c>
      <c r="D336" s="40" t="s">
        <v>570</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558</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571</v>
      </c>
      <c r="B338" s="35" t="s">
        <v>188</v>
      </c>
      <c r="C338" s="35" t="s">
        <v>189</v>
      </c>
      <c r="D338" s="40" t="s">
        <v>190</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52</v>
      </c>
      <c r="E339" s="29"/>
      <c r="F339" s="59"/>
      <c r="G339" s="59"/>
      <c r="H339" s="59"/>
      <c r="I339" s="59"/>
      <c r="J339" s="29">
        <f t="shared" si="72"/>
        <v>0</v>
      </c>
      <c r="K339" s="59"/>
      <c r="L339" s="59"/>
      <c r="M339" s="59"/>
      <c r="N339" s="59"/>
      <c r="O339" s="44">
        <f t="shared" si="71"/>
        <v>0</v>
      </c>
      <c r="P339" s="23">
        <f t="shared" si="62"/>
        <v>0</v>
      </c>
    </row>
    <row r="340" spans="1:16" hidden="1" x14ac:dyDescent="0.3">
      <c r="A340" s="34" t="s">
        <v>572</v>
      </c>
      <c r="B340" s="35" t="s">
        <v>193</v>
      </c>
      <c r="C340" s="35" t="s">
        <v>194</v>
      </c>
      <c r="D340" s="40" t="s">
        <v>195</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573</v>
      </c>
      <c r="B341" s="35" t="s">
        <v>204</v>
      </c>
      <c r="C341" s="35"/>
      <c r="D341" s="56" t="s">
        <v>205</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574</v>
      </c>
      <c r="B342" s="42" t="s">
        <v>207</v>
      </c>
      <c r="C342" s="42" t="s">
        <v>208</v>
      </c>
      <c r="D342" s="28" t="s">
        <v>209</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575</v>
      </c>
      <c r="B343" s="35" t="s">
        <v>450</v>
      </c>
      <c r="C343" s="51" t="s">
        <v>451</v>
      </c>
      <c r="D343" s="36" t="s">
        <v>452</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576</v>
      </c>
      <c r="B344" s="35" t="s">
        <v>481</v>
      </c>
      <c r="C344" s="52" t="s">
        <v>469</v>
      </c>
      <c r="D344" s="40" t="s">
        <v>482</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577</v>
      </c>
      <c r="B345" s="35" t="s">
        <v>578</v>
      </c>
      <c r="C345" s="52" t="s">
        <v>469</v>
      </c>
      <c r="D345" s="40" t="s">
        <v>579</v>
      </c>
      <c r="E345" s="38"/>
      <c r="F345" s="44"/>
      <c r="G345" s="44"/>
      <c r="H345" s="44"/>
      <c r="I345" s="44"/>
      <c r="J345" s="38">
        <f t="shared" si="72"/>
        <v>0</v>
      </c>
      <c r="K345" s="44"/>
      <c r="L345" s="44"/>
      <c r="M345" s="44"/>
      <c r="N345" s="44"/>
      <c r="O345" s="44">
        <f t="shared" si="71"/>
        <v>0</v>
      </c>
      <c r="P345" s="23">
        <f t="shared" si="62"/>
        <v>0</v>
      </c>
    </row>
    <row r="346" spans="1:16" hidden="1" x14ac:dyDescent="0.3">
      <c r="A346" s="89" t="s">
        <v>580</v>
      </c>
      <c r="B346" s="35" t="s">
        <v>506</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581</v>
      </c>
      <c r="B347" s="35" t="s">
        <v>509</v>
      </c>
      <c r="C347" s="52" t="s">
        <v>510</v>
      </c>
      <c r="D347" s="40" t="s">
        <v>511</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582</v>
      </c>
      <c r="B348" s="35" t="s">
        <v>513</v>
      </c>
      <c r="C348" s="52" t="s">
        <v>510</v>
      </c>
      <c r="D348" s="40" t="s">
        <v>514</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583</v>
      </c>
      <c r="B349" s="35" t="s">
        <v>584</v>
      </c>
      <c r="C349" s="35" t="s">
        <v>510</v>
      </c>
      <c r="D349" s="36" t="s">
        <v>585</v>
      </c>
      <c r="E349" s="38">
        <f>F349+I349</f>
        <v>0</v>
      </c>
      <c r="F349" s="44"/>
      <c r="G349" s="44"/>
      <c r="H349" s="44"/>
      <c r="I349" s="44"/>
      <c r="J349" s="38">
        <f t="shared" si="72"/>
        <v>0</v>
      </c>
      <c r="K349" s="44"/>
      <c r="L349" s="44"/>
      <c r="M349" s="44"/>
      <c r="N349" s="44"/>
      <c r="O349" s="44">
        <f t="shared" si="71"/>
        <v>0</v>
      </c>
      <c r="P349" s="23">
        <f t="shared" si="62"/>
        <v>0</v>
      </c>
    </row>
    <row r="350" spans="1:16" s="104" customFormat="1" ht="36" customHeight="1" x14ac:dyDescent="0.3">
      <c r="A350" s="99" t="s">
        <v>690</v>
      </c>
      <c r="B350" s="100" t="s">
        <v>691</v>
      </c>
      <c r="C350" s="110" t="s">
        <v>510</v>
      </c>
      <c r="D350" s="117" t="s">
        <v>519</v>
      </c>
      <c r="E350" s="102">
        <f t="shared" si="69"/>
        <v>7398497</v>
      </c>
      <c r="F350" s="119"/>
      <c r="G350" s="107"/>
      <c r="H350" s="107"/>
      <c r="I350" s="107">
        <f>9113000-2893103-732408+800000+1111008</f>
        <v>7398497</v>
      </c>
      <c r="J350" s="102">
        <f t="shared" si="72"/>
        <v>0</v>
      </c>
      <c r="K350" s="107"/>
      <c r="L350" s="107"/>
      <c r="M350" s="107"/>
      <c r="N350" s="107"/>
      <c r="O350" s="107">
        <f t="shared" si="71"/>
        <v>0</v>
      </c>
      <c r="P350" s="103">
        <f t="shared" si="62"/>
        <v>7398497</v>
      </c>
    </row>
    <row r="351" spans="1:16" ht="36" customHeight="1" x14ac:dyDescent="0.3">
      <c r="A351" s="34" t="s">
        <v>721</v>
      </c>
      <c r="B351" s="35" t="s">
        <v>722</v>
      </c>
      <c r="C351" s="52" t="s">
        <v>501</v>
      </c>
      <c r="D351" s="40" t="s">
        <v>723</v>
      </c>
      <c r="E351" s="38">
        <f t="shared" si="69"/>
        <v>0</v>
      </c>
      <c r="F351" s="90"/>
      <c r="G351" s="44"/>
      <c r="H351" s="44"/>
      <c r="I351" s="44"/>
      <c r="J351" s="38">
        <f t="shared" si="72"/>
        <v>100000</v>
      </c>
      <c r="K351" s="44">
        <v>100000</v>
      </c>
      <c r="L351" s="44"/>
      <c r="M351" s="44"/>
      <c r="N351" s="44"/>
      <c r="O351" s="44">
        <f t="shared" si="71"/>
        <v>100000</v>
      </c>
      <c r="P351" s="23">
        <f t="shared" si="62"/>
        <v>100000</v>
      </c>
    </row>
    <row r="352" spans="1:16" ht="21" hidden="1" customHeight="1" x14ac:dyDescent="0.3">
      <c r="A352" s="34" t="s">
        <v>586</v>
      </c>
      <c r="B352" s="51" t="s">
        <v>521</v>
      </c>
      <c r="C352" s="51" t="s">
        <v>510</v>
      </c>
      <c r="D352" s="36" t="s">
        <v>522</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8" t="s">
        <v>244</v>
      </c>
      <c r="E353" s="38">
        <f t="shared" si="73"/>
        <v>0</v>
      </c>
      <c r="F353" s="91"/>
      <c r="G353" s="59"/>
      <c r="H353" s="59"/>
      <c r="I353" s="59"/>
      <c r="J353" s="38">
        <f>L353+O353</f>
        <v>0</v>
      </c>
      <c r="K353" s="59"/>
      <c r="L353" s="44"/>
      <c r="M353" s="44"/>
      <c r="N353" s="44"/>
      <c r="O353" s="44">
        <f t="shared" si="71"/>
        <v>0</v>
      </c>
      <c r="P353" s="30">
        <f t="shared" si="62"/>
        <v>0</v>
      </c>
    </row>
    <row r="354" spans="1:16" ht="12.75" hidden="1" customHeight="1" x14ac:dyDescent="0.3">
      <c r="A354" s="34" t="s">
        <v>587</v>
      </c>
      <c r="B354" s="51" t="s">
        <v>525</v>
      </c>
      <c r="C354" s="51" t="s">
        <v>510</v>
      </c>
      <c r="D354" s="40" t="s">
        <v>588</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589</v>
      </c>
      <c r="B355" s="77" t="s">
        <v>552</v>
      </c>
      <c r="C355" s="77" t="s">
        <v>530</v>
      </c>
      <c r="D355" s="40" t="s">
        <v>553</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590</v>
      </c>
      <c r="B356" s="35" t="s">
        <v>533</v>
      </c>
      <c r="C356" s="35" t="s">
        <v>534</v>
      </c>
      <c r="D356" s="56" t="s">
        <v>535</v>
      </c>
      <c r="E356" s="38">
        <f t="shared" si="69"/>
        <v>0</v>
      </c>
      <c r="F356" s="44"/>
      <c r="G356" s="44"/>
      <c r="H356" s="44"/>
      <c r="I356" s="44"/>
      <c r="J356" s="38">
        <f t="shared" si="72"/>
        <v>0</v>
      </c>
      <c r="K356" s="44"/>
      <c r="L356" s="44"/>
      <c r="M356" s="44"/>
      <c r="N356" s="44"/>
      <c r="O356" s="44">
        <f t="shared" si="71"/>
        <v>0</v>
      </c>
      <c r="P356" s="23">
        <f t="shared" si="62"/>
        <v>0</v>
      </c>
    </row>
    <row r="357" spans="1:16" s="31" customFormat="1" ht="26.4" hidden="1" x14ac:dyDescent="0.25">
      <c r="A357" s="41"/>
      <c r="B357" s="42"/>
      <c r="C357" s="42"/>
      <c r="D357" s="68" t="s">
        <v>244</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8" t="s">
        <v>52</v>
      </c>
      <c r="E358" s="29"/>
      <c r="F358" s="59"/>
      <c r="G358" s="59"/>
      <c r="H358" s="59"/>
      <c r="I358" s="59"/>
      <c r="J358" s="29">
        <f t="shared" si="72"/>
        <v>0</v>
      </c>
      <c r="K358" s="59"/>
      <c r="L358" s="59"/>
      <c r="M358" s="59"/>
      <c r="N358" s="59"/>
      <c r="O358" s="44">
        <f t="shared" si="71"/>
        <v>0</v>
      </c>
      <c r="P358" s="30">
        <f>E358+J358</f>
        <v>0</v>
      </c>
    </row>
    <row r="359" spans="1:16" hidden="1" x14ac:dyDescent="0.3">
      <c r="A359" s="34" t="s">
        <v>591</v>
      </c>
      <c r="B359" s="35" t="s">
        <v>592</v>
      </c>
      <c r="C359" s="35"/>
      <c r="D359" s="36" t="s">
        <v>593</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8" t="s">
        <v>557</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8" t="s">
        <v>52</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594</v>
      </c>
      <c r="B362" s="42" t="s">
        <v>595</v>
      </c>
      <c r="C362" s="42" t="s">
        <v>534</v>
      </c>
      <c r="D362" s="68" t="s">
        <v>596</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597</v>
      </c>
      <c r="B363" s="42" t="s">
        <v>598</v>
      </c>
      <c r="C363" s="42" t="s">
        <v>534</v>
      </c>
      <c r="D363" s="68" t="s">
        <v>599</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600</v>
      </c>
      <c r="B364" s="42" t="s">
        <v>601</v>
      </c>
      <c r="C364" s="42" t="s">
        <v>534</v>
      </c>
      <c r="D364" s="68" t="s">
        <v>602</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358</v>
      </c>
      <c r="C365" s="35"/>
      <c r="D365" s="36" t="s">
        <v>603</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368</v>
      </c>
      <c r="C366" s="42" t="s">
        <v>115</v>
      </c>
      <c r="D366" s="64" t="s">
        <v>604</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483</v>
      </c>
      <c r="C367" s="51"/>
      <c r="D367" s="40" t="s">
        <v>484</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485</v>
      </c>
      <c r="C368" s="52" t="s">
        <v>469</v>
      </c>
      <c r="D368" s="64" t="s">
        <v>605</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606</v>
      </c>
      <c r="C369" s="35"/>
      <c r="D369" s="54" t="s">
        <v>607</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608</v>
      </c>
      <c r="C370" s="42" t="s">
        <v>510</v>
      </c>
      <c r="D370" s="92" t="s">
        <v>609</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559</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610</v>
      </c>
      <c r="B372" s="35" t="s">
        <v>611</v>
      </c>
      <c r="C372" s="35" t="s">
        <v>534</v>
      </c>
      <c r="D372" s="36" t="s">
        <v>612</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613</v>
      </c>
      <c r="B373" s="35" t="s">
        <v>239</v>
      </c>
      <c r="C373" s="35"/>
      <c r="D373" s="36" t="s">
        <v>614</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615</v>
      </c>
      <c r="B374" s="42" t="s">
        <v>616</v>
      </c>
      <c r="C374" s="42" t="s">
        <v>59</v>
      </c>
      <c r="D374" s="68" t="s">
        <v>617</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618</v>
      </c>
      <c r="B375" s="35" t="s">
        <v>242</v>
      </c>
      <c r="C375" s="35" t="s">
        <v>59</v>
      </c>
      <c r="D375" s="36" t="s">
        <v>243</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8" t="s">
        <v>244</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619</v>
      </c>
      <c r="B377" s="42" t="s">
        <v>250</v>
      </c>
      <c r="C377" s="42" t="s">
        <v>59</v>
      </c>
      <c r="D377" s="53" t="s">
        <v>251</v>
      </c>
      <c r="E377" s="29">
        <f t="shared" si="69"/>
        <v>0</v>
      </c>
      <c r="F377" s="59"/>
      <c r="G377" s="59"/>
      <c r="H377" s="59"/>
      <c r="I377" s="59"/>
      <c r="J377" s="29">
        <f t="shared" si="72"/>
        <v>0</v>
      </c>
      <c r="K377" s="59"/>
      <c r="L377" s="59"/>
      <c r="M377" s="59"/>
      <c r="N377" s="59"/>
      <c r="O377" s="44">
        <f t="shared" si="71"/>
        <v>0</v>
      </c>
      <c r="P377" s="30">
        <f t="shared" si="76"/>
        <v>0</v>
      </c>
    </row>
    <row r="378" spans="1:16" s="31" customFormat="1" ht="26.4" hidden="1" x14ac:dyDescent="0.25">
      <c r="A378" s="41"/>
      <c r="B378" s="42"/>
      <c r="C378" s="42"/>
      <c r="D378" s="53" t="s">
        <v>184</v>
      </c>
      <c r="E378" s="29"/>
      <c r="F378" s="59"/>
      <c r="G378" s="59"/>
      <c r="H378" s="59"/>
      <c r="I378" s="59"/>
      <c r="J378" s="29">
        <f t="shared" si="72"/>
        <v>0</v>
      </c>
      <c r="K378" s="59"/>
      <c r="L378" s="59"/>
      <c r="M378" s="59"/>
      <c r="N378" s="59"/>
      <c r="O378" s="44">
        <f t="shared" si="71"/>
        <v>0</v>
      </c>
      <c r="P378" s="30">
        <f t="shared" si="76"/>
        <v>0</v>
      </c>
    </row>
    <row r="379" spans="1:16" hidden="1" x14ac:dyDescent="0.3">
      <c r="A379" s="34" t="s">
        <v>620</v>
      </c>
      <c r="B379" s="55" t="s">
        <v>621</v>
      </c>
      <c r="C379" s="35" t="s">
        <v>45</v>
      </c>
      <c r="D379" s="71" t="s">
        <v>622</v>
      </c>
      <c r="E379" s="38">
        <f t="shared" si="69"/>
        <v>0</v>
      </c>
      <c r="F379" s="44"/>
      <c r="G379" s="44"/>
      <c r="H379" s="44"/>
      <c r="I379" s="44"/>
      <c r="J379" s="29">
        <f t="shared" si="72"/>
        <v>0</v>
      </c>
      <c r="K379" s="44"/>
      <c r="L379" s="44"/>
      <c r="M379" s="44"/>
      <c r="N379" s="44"/>
      <c r="O379" s="44">
        <f t="shared" si="71"/>
        <v>0</v>
      </c>
      <c r="P379" s="23">
        <f t="shared" si="76"/>
        <v>0</v>
      </c>
    </row>
    <row r="380" spans="1:16" s="31" customFormat="1" ht="39.6" hidden="1" x14ac:dyDescent="0.25">
      <c r="A380" s="41"/>
      <c r="B380" s="63"/>
      <c r="C380" s="42"/>
      <c r="D380" s="53" t="s">
        <v>623</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624</v>
      </c>
      <c r="B381" s="52" t="s">
        <v>540</v>
      </c>
      <c r="C381" s="42" t="s">
        <v>541</v>
      </c>
      <c r="D381" s="68" t="s">
        <v>542</v>
      </c>
      <c r="E381" s="29">
        <f t="shared" si="69"/>
        <v>0</v>
      </c>
      <c r="F381" s="59"/>
      <c r="G381" s="59"/>
      <c r="H381" s="59"/>
      <c r="I381" s="59"/>
      <c r="J381" s="38">
        <f t="shared" si="72"/>
        <v>0</v>
      </c>
      <c r="K381" s="59"/>
      <c r="L381" s="59"/>
      <c r="M381" s="59"/>
      <c r="N381" s="59"/>
      <c r="O381" s="44">
        <f t="shared" si="71"/>
        <v>0</v>
      </c>
      <c r="P381" s="30">
        <f t="shared" si="76"/>
        <v>0</v>
      </c>
    </row>
    <row r="382" spans="1:16" s="31" customFormat="1" ht="26.4" hidden="1" x14ac:dyDescent="0.25">
      <c r="A382" s="41"/>
      <c r="B382" s="42"/>
      <c r="C382" s="42"/>
      <c r="D382" s="53" t="s">
        <v>184</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625</v>
      </c>
      <c r="B383" s="42" t="s">
        <v>71</v>
      </c>
      <c r="C383" s="42" t="s">
        <v>59</v>
      </c>
      <c r="D383" s="49" t="s">
        <v>72</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626</v>
      </c>
      <c r="B384" s="51" t="s">
        <v>89</v>
      </c>
      <c r="C384" s="51" t="s">
        <v>90</v>
      </c>
      <c r="D384" s="64" t="s">
        <v>91</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560</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627</v>
      </c>
      <c r="B386" s="52" t="s">
        <v>628</v>
      </c>
      <c r="C386" s="52" t="s">
        <v>95</v>
      </c>
      <c r="D386" s="36" t="s">
        <v>629</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630</v>
      </c>
      <c r="E387" s="29"/>
      <c r="F387" s="59"/>
      <c r="G387" s="59"/>
      <c r="H387" s="59"/>
      <c r="I387" s="59"/>
      <c r="J387" s="29">
        <f t="shared" si="72"/>
        <v>0</v>
      </c>
      <c r="K387" s="59"/>
      <c r="L387" s="59"/>
      <c r="M387" s="59"/>
      <c r="N387" s="59"/>
      <c r="O387" s="44">
        <f t="shared" si="71"/>
        <v>0</v>
      </c>
      <c r="P387" s="30">
        <f t="shared" si="76"/>
        <v>0</v>
      </c>
    </row>
    <row r="388" spans="1:18" hidden="1" x14ac:dyDescent="0.3">
      <c r="A388" s="34" t="s">
        <v>631</v>
      </c>
      <c r="B388" s="51" t="s">
        <v>54</v>
      </c>
      <c r="C388" s="35" t="s">
        <v>55</v>
      </c>
      <c r="D388" s="54" t="s">
        <v>56</v>
      </c>
      <c r="E388" s="38"/>
      <c r="F388" s="44"/>
      <c r="G388" s="44"/>
      <c r="H388" s="44"/>
      <c r="I388" s="44"/>
      <c r="J388" s="38">
        <f>L388+O388</f>
        <v>0</v>
      </c>
      <c r="K388" s="44"/>
      <c r="L388" s="44"/>
      <c r="M388" s="44"/>
      <c r="N388" s="44"/>
      <c r="O388" s="44">
        <f t="shared" si="71"/>
        <v>0</v>
      </c>
      <c r="P388" s="23">
        <f>E388+J388</f>
        <v>0</v>
      </c>
    </row>
    <row r="389" spans="1:18" hidden="1" x14ac:dyDescent="0.3">
      <c r="A389" s="34" t="s">
        <v>632</v>
      </c>
      <c r="B389" s="35" t="s">
        <v>58</v>
      </c>
      <c r="C389" s="35" t="s">
        <v>59</v>
      </c>
      <c r="D389" s="47" t="s">
        <v>550</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626</v>
      </c>
      <c r="B390" s="52" t="s">
        <v>89</v>
      </c>
      <c r="C390" s="35" t="s">
        <v>90</v>
      </c>
      <c r="D390" s="56" t="s">
        <v>91</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560</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633</v>
      </c>
      <c r="B392" s="52" t="s">
        <v>634</v>
      </c>
      <c r="C392" s="52" t="s">
        <v>510</v>
      </c>
      <c r="D392" s="64" t="s">
        <v>635</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636</v>
      </c>
      <c r="E393" s="57">
        <f>E395</f>
        <v>1990540</v>
      </c>
      <c r="F393" s="57">
        <f t="shared" ref="F393:O393" si="78">F395</f>
        <v>1990540</v>
      </c>
      <c r="G393" s="57">
        <f t="shared" si="78"/>
        <v>1603500</v>
      </c>
      <c r="H393" s="57">
        <f t="shared" si="78"/>
        <v>20000</v>
      </c>
      <c r="I393" s="57">
        <f t="shared" si="78"/>
        <v>0</v>
      </c>
      <c r="J393" s="57">
        <f t="shared" si="78"/>
        <v>50000</v>
      </c>
      <c r="K393" s="57">
        <f>K395</f>
        <v>50000</v>
      </c>
      <c r="L393" s="57">
        <f t="shared" si="78"/>
        <v>0</v>
      </c>
      <c r="M393" s="57">
        <f t="shared" si="78"/>
        <v>0</v>
      </c>
      <c r="N393" s="57">
        <f t="shared" si="78"/>
        <v>0</v>
      </c>
      <c r="O393" s="57">
        <f t="shared" si="78"/>
        <v>50000</v>
      </c>
      <c r="P393" s="23">
        <f t="shared" si="76"/>
        <v>2040540</v>
      </c>
      <c r="R393" s="24"/>
    </row>
    <row r="394" spans="1:18" s="31" customFormat="1" ht="13.2" hidden="1" customHeight="1" x14ac:dyDescent="0.25">
      <c r="A394" s="41"/>
      <c r="B394" s="63"/>
      <c r="C394" s="42"/>
      <c r="D394" s="28" t="s">
        <v>52</v>
      </c>
      <c r="E394" s="59"/>
      <c r="F394" s="59"/>
      <c r="G394" s="59"/>
      <c r="H394" s="59"/>
      <c r="I394" s="59"/>
      <c r="J394" s="59">
        <f>J400</f>
        <v>0</v>
      </c>
      <c r="K394" s="59">
        <f>K400</f>
        <v>0</v>
      </c>
      <c r="L394" s="59"/>
      <c r="M394" s="59"/>
      <c r="N394" s="59"/>
      <c r="O394" s="57"/>
      <c r="P394" s="23">
        <f>E394+J394</f>
        <v>0</v>
      </c>
    </row>
    <row r="395" spans="1:18" ht="22.5" customHeight="1" x14ac:dyDescent="0.3">
      <c r="A395" s="34" t="s">
        <v>637</v>
      </c>
      <c r="B395" s="55"/>
      <c r="C395" s="21"/>
      <c r="D395" s="28" t="s">
        <v>636</v>
      </c>
      <c r="E395" s="57">
        <f>E396+E398+E401+E406</f>
        <v>1990540</v>
      </c>
      <c r="F395" s="57">
        <f>F396+F398+F401+F406+F408</f>
        <v>1990540</v>
      </c>
      <c r="G395" s="57">
        <f>G396+G398+G401+G406</f>
        <v>1603500</v>
      </c>
      <c r="H395" s="57">
        <f>H396+H398+H401+H406</f>
        <v>20000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2040540</v>
      </c>
    </row>
    <row r="396" spans="1:18" s="104" customFormat="1" ht="25.2" customHeight="1" x14ac:dyDescent="0.3">
      <c r="A396" s="99" t="s">
        <v>638</v>
      </c>
      <c r="B396" s="100" t="s">
        <v>31</v>
      </c>
      <c r="C396" s="100" t="s">
        <v>24</v>
      </c>
      <c r="D396" s="111" t="s">
        <v>113</v>
      </c>
      <c r="E396" s="102">
        <f t="shared" ref="E396:E403" si="79">F396+I396</f>
        <v>1990540</v>
      </c>
      <c r="F396" s="120">
        <f>1903540+87000</f>
        <v>1990540</v>
      </c>
      <c r="G396" s="120">
        <f>1527500+76000</f>
        <v>1603500</v>
      </c>
      <c r="H396" s="120">
        <v>20000</v>
      </c>
      <c r="I396" s="107"/>
      <c r="J396" s="121">
        <f>L396+O396</f>
        <v>50000</v>
      </c>
      <c r="K396" s="120">
        <v>50000</v>
      </c>
      <c r="L396" s="120"/>
      <c r="M396" s="120"/>
      <c r="N396" s="120"/>
      <c r="O396" s="120">
        <f t="shared" ref="O396" si="80">K396</f>
        <v>50000</v>
      </c>
      <c r="P396" s="103">
        <f t="shared" ref="P396:P408" si="81">E396+J396</f>
        <v>2040540</v>
      </c>
    </row>
    <row r="397" spans="1:18" hidden="1" x14ac:dyDescent="0.3">
      <c r="A397" s="34" t="s">
        <v>639</v>
      </c>
      <c r="B397" s="35" t="s">
        <v>640</v>
      </c>
      <c r="C397" s="35" t="s">
        <v>501</v>
      </c>
      <c r="D397" s="56" t="s">
        <v>641</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642</v>
      </c>
      <c r="B398" s="35" t="s">
        <v>643</v>
      </c>
      <c r="C398" s="35" t="s">
        <v>644</v>
      </c>
      <c r="D398" s="36" t="s">
        <v>645</v>
      </c>
      <c r="E398" s="38">
        <f t="shared" si="79"/>
        <v>0</v>
      </c>
      <c r="F398" s="44"/>
      <c r="G398" s="44"/>
      <c r="H398" s="44"/>
      <c r="I398" s="44"/>
      <c r="J398" s="38">
        <f>L398+O398</f>
        <v>0</v>
      </c>
      <c r="K398" s="44"/>
      <c r="L398" s="44"/>
      <c r="M398" s="44"/>
      <c r="N398" s="44"/>
      <c r="O398" s="44">
        <f t="shared" si="82"/>
        <v>0</v>
      </c>
      <c r="P398" s="23">
        <f t="shared" si="81"/>
        <v>0</v>
      </c>
    </row>
    <row r="399" spans="1:18" s="31" customFormat="1" ht="13.2" hidden="1" x14ac:dyDescent="0.25">
      <c r="A399" s="41" t="s">
        <v>639</v>
      </c>
      <c r="B399" s="42" t="s">
        <v>640</v>
      </c>
      <c r="C399" s="42" t="s">
        <v>501</v>
      </c>
      <c r="D399" s="49" t="s">
        <v>641</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52</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646</v>
      </c>
      <c r="B401" s="35" t="s">
        <v>647</v>
      </c>
      <c r="C401" s="35" t="s">
        <v>59</v>
      </c>
      <c r="D401" s="40" t="s">
        <v>648</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649</v>
      </c>
      <c r="B402" s="35" t="s">
        <v>650</v>
      </c>
      <c r="C402" s="35"/>
      <c r="D402" s="47" t="s">
        <v>651</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652</v>
      </c>
      <c r="B403" s="42" t="s">
        <v>653</v>
      </c>
      <c r="C403" s="42"/>
      <c r="D403" s="48" t="s">
        <v>654</v>
      </c>
      <c r="E403" s="38">
        <f t="shared" si="79"/>
        <v>0</v>
      </c>
      <c r="F403" s="29"/>
      <c r="G403" s="29"/>
      <c r="H403" s="29"/>
      <c r="I403" s="29"/>
      <c r="J403" s="38">
        <f>L403+O403</f>
        <v>0</v>
      </c>
      <c r="K403" s="29"/>
      <c r="L403" s="29"/>
      <c r="M403" s="29"/>
      <c r="N403" s="29"/>
      <c r="O403" s="44">
        <f>K403</f>
        <v>0</v>
      </c>
      <c r="P403" s="23">
        <f t="shared" si="81"/>
        <v>0</v>
      </c>
    </row>
    <row r="404" spans="1:18" s="31" customFormat="1" ht="52.8" hidden="1" x14ac:dyDescent="0.25">
      <c r="A404" s="41"/>
      <c r="B404" s="42"/>
      <c r="C404" s="42"/>
      <c r="D404" s="49" t="s">
        <v>655</v>
      </c>
      <c r="E404" s="38"/>
      <c r="F404" s="29"/>
      <c r="G404" s="29"/>
      <c r="H404" s="29"/>
      <c r="I404" s="29"/>
      <c r="J404" s="38">
        <f>L404+O404</f>
        <v>0</v>
      </c>
      <c r="K404" s="29"/>
      <c r="L404" s="29"/>
      <c r="M404" s="29"/>
      <c r="N404" s="29"/>
      <c r="O404" s="44">
        <f>K404</f>
        <v>0</v>
      </c>
      <c r="P404" s="23">
        <f t="shared" si="81"/>
        <v>0</v>
      </c>
    </row>
    <row r="405" spans="1:18" hidden="1" x14ac:dyDescent="0.3">
      <c r="A405" s="34" t="s">
        <v>656</v>
      </c>
      <c r="B405" s="35" t="s">
        <v>58</v>
      </c>
      <c r="C405" s="35" t="s">
        <v>59</v>
      </c>
      <c r="D405" s="48" t="s">
        <v>550</v>
      </c>
      <c r="E405" s="38"/>
      <c r="F405" s="38"/>
      <c r="G405" s="38"/>
      <c r="H405" s="38"/>
      <c r="I405" s="38"/>
      <c r="J405" s="38">
        <f>L405+O405</f>
        <v>0</v>
      </c>
      <c r="K405" s="38"/>
      <c r="L405" s="38"/>
      <c r="M405" s="38"/>
      <c r="N405" s="38"/>
      <c r="O405" s="44">
        <f>K405</f>
        <v>0</v>
      </c>
      <c r="P405" s="23">
        <f t="shared" si="81"/>
        <v>0</v>
      </c>
    </row>
    <row r="406" spans="1:18" hidden="1" x14ac:dyDescent="0.3">
      <c r="A406" s="34" t="s">
        <v>657</v>
      </c>
      <c r="B406" s="35" t="s">
        <v>65</v>
      </c>
      <c r="C406" s="35"/>
      <c r="D406" s="48" t="s">
        <v>66</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658</v>
      </c>
      <c r="B408" s="35" t="s">
        <v>71</v>
      </c>
      <c r="C408" s="35" t="s">
        <v>59</v>
      </c>
      <c r="D408" s="48" t="s">
        <v>72</v>
      </c>
      <c r="E408" s="38">
        <f>F408+I408</f>
        <v>0</v>
      </c>
      <c r="F408" s="38"/>
      <c r="G408" s="38"/>
      <c r="H408" s="38"/>
      <c r="I408" s="38"/>
      <c r="J408" s="38">
        <f>L408+O408</f>
        <v>0</v>
      </c>
      <c r="K408" s="38"/>
      <c r="L408" s="38"/>
      <c r="M408" s="38"/>
      <c r="N408" s="38"/>
      <c r="O408" s="38">
        <f>K408</f>
        <v>0</v>
      </c>
      <c r="P408" s="23">
        <f t="shared" si="81"/>
        <v>0</v>
      </c>
    </row>
    <row r="409" spans="1:18" ht="26.4" x14ac:dyDescent="0.3">
      <c r="A409" s="19" t="s">
        <v>659</v>
      </c>
      <c r="B409" s="20"/>
      <c r="C409" s="21"/>
      <c r="D409" s="22" t="s">
        <v>660</v>
      </c>
      <c r="E409" s="57">
        <f>E411</f>
        <v>7022180</v>
      </c>
      <c r="F409" s="57">
        <f t="shared" ref="F409:P410" si="84">F410</f>
        <v>7022180</v>
      </c>
      <c r="G409" s="57">
        <f t="shared" si="84"/>
        <v>5747600</v>
      </c>
      <c r="H409" s="57">
        <f t="shared" si="84"/>
        <v>0</v>
      </c>
      <c r="I409" s="57">
        <f t="shared" si="84"/>
        <v>0</v>
      </c>
      <c r="J409" s="57">
        <f t="shared" si="84"/>
        <v>100000</v>
      </c>
      <c r="K409" s="57">
        <f t="shared" si="84"/>
        <v>100000</v>
      </c>
      <c r="L409" s="57">
        <f t="shared" si="84"/>
        <v>0</v>
      </c>
      <c r="M409" s="57">
        <f t="shared" si="84"/>
        <v>0</v>
      </c>
      <c r="N409" s="57">
        <f t="shared" si="84"/>
        <v>0</v>
      </c>
      <c r="O409" s="57">
        <f t="shared" si="84"/>
        <v>100000</v>
      </c>
      <c r="P409" s="57">
        <f t="shared" si="84"/>
        <v>7122180</v>
      </c>
      <c r="R409" s="24"/>
    </row>
    <row r="410" spans="1:18" ht="26.4" x14ac:dyDescent="0.3">
      <c r="A410" s="34" t="s">
        <v>661</v>
      </c>
      <c r="B410" s="55"/>
      <c r="C410" s="21"/>
      <c r="D410" s="28" t="s">
        <v>660</v>
      </c>
      <c r="E410" s="57">
        <f>E411</f>
        <v>7022180</v>
      </c>
      <c r="F410" s="57">
        <f t="shared" si="84"/>
        <v>7022180</v>
      </c>
      <c r="G410" s="57">
        <f t="shared" si="84"/>
        <v>5747600</v>
      </c>
      <c r="H410" s="57">
        <f t="shared" si="84"/>
        <v>0</v>
      </c>
      <c r="I410" s="57">
        <f t="shared" si="84"/>
        <v>0</v>
      </c>
      <c r="J410" s="57">
        <f t="shared" si="84"/>
        <v>100000</v>
      </c>
      <c r="K410" s="57">
        <f t="shared" si="84"/>
        <v>100000</v>
      </c>
      <c r="L410" s="57">
        <f t="shared" si="84"/>
        <v>0</v>
      </c>
      <c r="M410" s="57">
        <f t="shared" si="84"/>
        <v>0</v>
      </c>
      <c r="N410" s="57">
        <f t="shared" si="84"/>
        <v>0</v>
      </c>
      <c r="O410" s="57">
        <f t="shared" si="84"/>
        <v>100000</v>
      </c>
      <c r="P410" s="57">
        <f t="shared" si="84"/>
        <v>7122180</v>
      </c>
    </row>
    <row r="411" spans="1:18" s="104" customFormat="1" ht="25.95" customHeight="1" x14ac:dyDescent="0.3">
      <c r="A411" s="99" t="s">
        <v>662</v>
      </c>
      <c r="B411" s="100" t="s">
        <v>31</v>
      </c>
      <c r="C411" s="100" t="s">
        <v>24</v>
      </c>
      <c r="D411" s="111" t="s">
        <v>113</v>
      </c>
      <c r="E411" s="102">
        <f>F411+I411</f>
        <v>7022180</v>
      </c>
      <c r="F411" s="107">
        <f>5846680+1175500</f>
        <v>7022180</v>
      </c>
      <c r="G411" s="107">
        <f>4780000+967600</f>
        <v>5747600</v>
      </c>
      <c r="H411" s="107">
        <v>0</v>
      </c>
      <c r="I411" s="107"/>
      <c r="J411" s="102">
        <f>L411+O411</f>
        <v>100000</v>
      </c>
      <c r="K411" s="107">
        <v>100000</v>
      </c>
      <c r="L411" s="107"/>
      <c r="M411" s="107"/>
      <c r="N411" s="107"/>
      <c r="O411" s="107">
        <f>K411</f>
        <v>100000</v>
      </c>
      <c r="P411" s="103">
        <f>E411+J411</f>
        <v>7122180</v>
      </c>
    </row>
    <row r="412" spans="1:18" ht="22.5" customHeight="1" x14ac:dyDescent="0.3">
      <c r="A412" s="19">
        <v>3700000</v>
      </c>
      <c r="B412" s="20"/>
      <c r="C412" s="21"/>
      <c r="D412" s="22" t="s">
        <v>663</v>
      </c>
      <c r="E412" s="57">
        <f>E413</f>
        <v>87213518</v>
      </c>
      <c r="F412" s="97">
        <f t="shared" ref="F412:O412" si="85">F413</f>
        <v>85713518</v>
      </c>
      <c r="G412" s="57">
        <f t="shared" si="85"/>
        <v>8061300</v>
      </c>
      <c r="H412" s="57">
        <f t="shared" si="85"/>
        <v>0</v>
      </c>
      <c r="I412" s="57">
        <f t="shared" si="85"/>
        <v>0</v>
      </c>
      <c r="J412" s="57">
        <f t="shared" si="85"/>
        <v>19000000</v>
      </c>
      <c r="K412" s="57">
        <f>K413</f>
        <v>19000000</v>
      </c>
      <c r="L412" s="57">
        <f t="shared" si="85"/>
        <v>0</v>
      </c>
      <c r="M412" s="57">
        <f t="shared" si="85"/>
        <v>0</v>
      </c>
      <c r="N412" s="57">
        <f t="shared" si="85"/>
        <v>0</v>
      </c>
      <c r="O412" s="57">
        <f t="shared" si="85"/>
        <v>19000000</v>
      </c>
      <c r="P412" s="23">
        <f>E412+J412</f>
        <v>106213518</v>
      </c>
      <c r="R412" s="24"/>
    </row>
    <row r="413" spans="1:18" x14ac:dyDescent="0.3">
      <c r="A413" s="34" t="s">
        <v>664</v>
      </c>
      <c r="B413" s="55"/>
      <c r="C413" s="21"/>
      <c r="D413" s="28" t="s">
        <v>663</v>
      </c>
      <c r="E413" s="57">
        <f>E414+E416+E420+E415+E419+E418+E417</f>
        <v>87213518</v>
      </c>
      <c r="F413" s="97">
        <f>F414+F416+F420+F415+F419+F418+F417</f>
        <v>85713518</v>
      </c>
      <c r="G413" s="57">
        <f t="shared" ref="G413:O413" si="86">G414+G416+G420+G415+G419</f>
        <v>8061300</v>
      </c>
      <c r="H413" s="57">
        <f t="shared" si="86"/>
        <v>0</v>
      </c>
      <c r="I413" s="57">
        <f t="shared" si="86"/>
        <v>0</v>
      </c>
      <c r="J413" s="57">
        <f>J414+J416+J420+J415+J419</f>
        <v>19000000</v>
      </c>
      <c r="K413" s="57">
        <f>K414+K416+K420+K415+K419</f>
        <v>19000000</v>
      </c>
      <c r="L413" s="57">
        <f t="shared" si="86"/>
        <v>0</v>
      </c>
      <c r="M413" s="57">
        <f t="shared" si="86"/>
        <v>0</v>
      </c>
      <c r="N413" s="57">
        <f t="shared" si="86"/>
        <v>0</v>
      </c>
      <c r="O413" s="57">
        <f t="shared" si="86"/>
        <v>19000000</v>
      </c>
      <c r="P413" s="57">
        <f>P414+P416+P420+P415++P417+P419+P418</f>
        <v>106213518</v>
      </c>
    </row>
    <row r="414" spans="1:18" s="104" customFormat="1" ht="33" customHeight="1" x14ac:dyDescent="0.3">
      <c r="A414" s="99" t="s">
        <v>665</v>
      </c>
      <c r="B414" s="100" t="s">
        <v>31</v>
      </c>
      <c r="C414" s="100" t="s">
        <v>24</v>
      </c>
      <c r="D414" s="111" t="s">
        <v>113</v>
      </c>
      <c r="E414" s="102">
        <f>F414+I414</f>
        <v>10174700</v>
      </c>
      <c r="F414" s="107">
        <f>10063000+661700-550000</f>
        <v>10174700</v>
      </c>
      <c r="G414" s="107">
        <f>7513000+548300</f>
        <v>8061300</v>
      </c>
      <c r="H414" s="107">
        <f>50000-50000</f>
        <v>0</v>
      </c>
      <c r="I414" s="107"/>
      <c r="J414" s="102">
        <f>L414+O414</f>
        <v>0</v>
      </c>
      <c r="K414" s="107">
        <f>100000-100000</f>
        <v>0</v>
      </c>
      <c r="L414" s="107"/>
      <c r="M414" s="107"/>
      <c r="N414" s="107"/>
      <c r="O414" s="107">
        <f>K414</f>
        <v>0</v>
      </c>
      <c r="P414" s="103">
        <f t="shared" ref="P414:P420" si="87">E414+J414</f>
        <v>10174700</v>
      </c>
    </row>
    <row r="415" spans="1:18" ht="21" customHeight="1" x14ac:dyDescent="0.3">
      <c r="A415" s="34" t="s">
        <v>666</v>
      </c>
      <c r="B415" s="35" t="s">
        <v>74</v>
      </c>
      <c r="C415" s="35" t="s">
        <v>667</v>
      </c>
      <c r="D415" s="54" t="s">
        <v>668</v>
      </c>
      <c r="E415" s="38">
        <f>F415+I415</f>
        <v>8273700</v>
      </c>
      <c r="F415" s="44">
        <f>22598700-14062800-262200</f>
        <v>8273700</v>
      </c>
      <c r="G415" s="44"/>
      <c r="H415" s="44"/>
      <c r="I415" s="44"/>
      <c r="J415" s="38"/>
      <c r="K415" s="44"/>
      <c r="L415" s="44"/>
      <c r="M415" s="44"/>
      <c r="N415" s="44"/>
      <c r="O415" s="44"/>
      <c r="P415" s="23">
        <f t="shared" si="87"/>
        <v>8273700</v>
      </c>
    </row>
    <row r="416" spans="1:18" ht="17.25" customHeight="1" x14ac:dyDescent="0.3">
      <c r="A416" s="34" t="s">
        <v>669</v>
      </c>
      <c r="B416" s="55" t="s">
        <v>670</v>
      </c>
      <c r="C416" s="35" t="s">
        <v>75</v>
      </c>
      <c r="D416" s="56" t="s">
        <v>693</v>
      </c>
      <c r="E416" s="44">
        <v>1500000</v>
      </c>
      <c r="F416" s="44"/>
      <c r="G416" s="44"/>
      <c r="H416" s="44"/>
      <c r="I416" s="44"/>
      <c r="J416" s="38">
        <f>L416+O416</f>
        <v>0</v>
      </c>
      <c r="K416" s="44"/>
      <c r="L416" s="44"/>
      <c r="M416" s="44"/>
      <c r="N416" s="44"/>
      <c r="O416" s="44">
        <f>K416</f>
        <v>0</v>
      </c>
      <c r="P416" s="23">
        <f t="shared" si="87"/>
        <v>1500000</v>
      </c>
    </row>
    <row r="417" spans="1:18" ht="39.6" x14ac:dyDescent="0.3">
      <c r="A417" s="34" t="s">
        <v>717</v>
      </c>
      <c r="B417" s="55" t="s">
        <v>718</v>
      </c>
      <c r="C417" s="35" t="s">
        <v>673</v>
      </c>
      <c r="D417" s="56" t="s">
        <v>719</v>
      </c>
      <c r="E417" s="44">
        <f>F417</f>
        <v>1665118</v>
      </c>
      <c r="F417" s="44">
        <v>1665118</v>
      </c>
      <c r="G417" s="44"/>
      <c r="H417" s="44"/>
      <c r="I417" s="44"/>
      <c r="J417" s="38">
        <f>L417+O417</f>
        <v>0</v>
      </c>
      <c r="K417" s="44"/>
      <c r="L417" s="44"/>
      <c r="M417" s="44"/>
      <c r="N417" s="44"/>
      <c r="O417" s="44">
        <f>K417</f>
        <v>0</v>
      </c>
      <c r="P417" s="23">
        <f t="shared" si="87"/>
        <v>1665118</v>
      </c>
    </row>
    <row r="418" spans="1:18" ht="19.5" customHeight="1" x14ac:dyDescent="0.3">
      <c r="A418" s="34" t="s">
        <v>710</v>
      </c>
      <c r="B418" s="55" t="s">
        <v>711</v>
      </c>
      <c r="C418" s="35" t="s">
        <v>712</v>
      </c>
      <c r="D418" s="56" t="s">
        <v>713</v>
      </c>
      <c r="E418" s="44">
        <f>F418</f>
        <v>65600000</v>
      </c>
      <c r="F418" s="44">
        <v>65600000</v>
      </c>
      <c r="G418" s="44"/>
      <c r="H418" s="44"/>
      <c r="I418" s="44"/>
      <c r="J418" s="38">
        <f>L418+O418</f>
        <v>0</v>
      </c>
      <c r="K418" s="44"/>
      <c r="L418" s="44"/>
      <c r="M418" s="44"/>
      <c r="N418" s="44"/>
      <c r="O418" s="44">
        <f>K418</f>
        <v>0</v>
      </c>
      <c r="P418" s="23">
        <f t="shared" si="87"/>
        <v>65600000</v>
      </c>
    </row>
    <row r="419" spans="1:18" s="104" customFormat="1" ht="27.75" customHeight="1" x14ac:dyDescent="0.3">
      <c r="A419" s="99" t="s">
        <v>671</v>
      </c>
      <c r="B419" s="116" t="s">
        <v>672</v>
      </c>
      <c r="C419" s="100" t="s">
        <v>673</v>
      </c>
      <c r="D419" s="111" t="s">
        <v>674</v>
      </c>
      <c r="E419" s="107">
        <f>F419</f>
        <v>0</v>
      </c>
      <c r="F419" s="107"/>
      <c r="G419" s="107"/>
      <c r="H419" s="107"/>
      <c r="I419" s="107"/>
      <c r="J419" s="102">
        <f>L419+O419</f>
        <v>18000000</v>
      </c>
      <c r="K419" s="107">
        <f>3000000+15000000</f>
        <v>18000000</v>
      </c>
      <c r="L419" s="107"/>
      <c r="M419" s="107"/>
      <c r="N419" s="107"/>
      <c r="O419" s="107">
        <f>K419</f>
        <v>18000000</v>
      </c>
      <c r="P419" s="103">
        <f t="shared" si="87"/>
        <v>18000000</v>
      </c>
    </row>
    <row r="420" spans="1:18" ht="28.5" customHeight="1" x14ac:dyDescent="0.3">
      <c r="A420" s="34" t="s">
        <v>675</v>
      </c>
      <c r="B420" s="55" t="s">
        <v>676</v>
      </c>
      <c r="C420" s="35" t="s">
        <v>673</v>
      </c>
      <c r="D420" s="56" t="s">
        <v>677</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93"/>
      <c r="D421" s="22" t="s">
        <v>678</v>
      </c>
      <c r="E421" s="57">
        <f t="shared" ref="E421:O421" si="88">E14+E45+E99+E157+E251+E258+E272+E289+E319+E393+E412+E409</f>
        <v>772240867</v>
      </c>
      <c r="F421" s="57">
        <f t="shared" si="88"/>
        <v>763342370</v>
      </c>
      <c r="G421" s="57">
        <f>G14+G45+G99+G157+G251+G258+G272+G289+G319+G393+G412+G409</f>
        <v>440054725</v>
      </c>
      <c r="H421" s="57">
        <f t="shared" si="88"/>
        <v>9239969</v>
      </c>
      <c r="I421" s="57">
        <f t="shared" si="88"/>
        <v>7398497</v>
      </c>
      <c r="J421" s="57">
        <f>J14+J45+J99+J157+J251+J258+J272+J289+J319+J393+J412+J409</f>
        <v>170902602</v>
      </c>
      <c r="K421" s="57">
        <f t="shared" si="88"/>
        <v>170828602</v>
      </c>
      <c r="L421" s="57">
        <f t="shared" si="88"/>
        <v>74000</v>
      </c>
      <c r="M421" s="57">
        <f t="shared" si="88"/>
        <v>34800</v>
      </c>
      <c r="N421" s="57">
        <f t="shared" si="88"/>
        <v>0</v>
      </c>
      <c r="O421" s="57">
        <f t="shared" si="88"/>
        <v>170828602</v>
      </c>
      <c r="P421" s="57">
        <f>P14+P45+P99+P157+P251+P258+P272+P289+P319+P393+P412+P409</f>
        <v>943143469</v>
      </c>
      <c r="R421" s="24"/>
    </row>
    <row r="422" spans="1:18" x14ac:dyDescent="0.3">
      <c r="P422" s="24"/>
    </row>
    <row r="423" spans="1:18" ht="39.75" customHeight="1" x14ac:dyDescent="0.3">
      <c r="D423" s="67" t="s">
        <v>724</v>
      </c>
      <c r="E423" s="94"/>
      <c r="F423" s="94"/>
      <c r="G423" s="94"/>
      <c r="H423" s="94"/>
      <c r="I423" s="94"/>
      <c r="J423" s="94"/>
      <c r="K423" s="94"/>
      <c r="O423" s="94" t="s">
        <v>720</v>
      </c>
    </row>
    <row r="424" spans="1:18" ht="19.2" customHeight="1" x14ac:dyDescent="0.3">
      <c r="D424" s="132" t="s">
        <v>707</v>
      </c>
      <c r="E424" s="132"/>
      <c r="O424" s="4" t="s">
        <v>708</v>
      </c>
    </row>
    <row r="425" spans="1:18" ht="13.95" customHeight="1" x14ac:dyDescent="0.3"/>
    <row r="426" spans="1:18" hidden="1" x14ac:dyDescent="0.3">
      <c r="E426" s="95">
        <v>1184409100</v>
      </c>
      <c r="F426" s="95"/>
      <c r="G426" s="95"/>
      <c r="H426" s="95"/>
      <c r="I426" s="95"/>
      <c r="J426" s="95">
        <v>33549700</v>
      </c>
      <c r="K426" s="95">
        <v>8500000</v>
      </c>
      <c r="L426" s="95"/>
      <c r="M426" s="95"/>
      <c r="N426" s="95"/>
      <c r="O426" s="95"/>
      <c r="P426" s="95">
        <v>1217958800</v>
      </c>
      <c r="Q426" s="4" t="s">
        <v>679</v>
      </c>
    </row>
    <row r="427" spans="1:18" hidden="1" x14ac:dyDescent="0.3">
      <c r="E427" s="95">
        <f>E421-E426</f>
        <v>-412168233</v>
      </c>
      <c r="F427" s="95"/>
      <c r="G427" s="95"/>
      <c r="H427" s="95"/>
      <c r="I427" s="95"/>
      <c r="J427" s="95">
        <f>J426-J421</f>
        <v>-137352902</v>
      </c>
      <c r="K427" s="95">
        <f>K426-K421</f>
        <v>-162328602</v>
      </c>
      <c r="L427" s="95"/>
      <c r="M427" s="95"/>
      <c r="N427" s="95"/>
      <c r="O427" s="95"/>
      <c r="P427" s="95">
        <f>P426-P421</f>
        <v>274815331</v>
      </c>
      <c r="Q427" s="4" t="s">
        <v>680</v>
      </c>
    </row>
    <row r="428" spans="1:18" hidden="1" x14ac:dyDescent="0.3">
      <c r="E428" s="95">
        <v>-100800000</v>
      </c>
      <c r="F428" s="95"/>
      <c r="G428" s="95"/>
      <c r="H428" s="95"/>
      <c r="I428" s="95"/>
      <c r="J428" s="95">
        <v>50000000</v>
      </c>
      <c r="K428" s="95">
        <v>50000000</v>
      </c>
      <c r="L428" s="95"/>
      <c r="M428" s="95"/>
      <c r="N428" s="95"/>
      <c r="O428" s="95"/>
      <c r="P428" s="95">
        <v>-50800000</v>
      </c>
      <c r="Q428" s="4" t="s">
        <v>681</v>
      </c>
    </row>
    <row r="429" spans="1:18" hidden="1" x14ac:dyDescent="0.3">
      <c r="E429" s="95">
        <f>E427-E428</f>
        <v>-311368233</v>
      </c>
      <c r="F429" s="95"/>
      <c r="G429" s="95"/>
      <c r="H429" s="95"/>
      <c r="I429" s="95"/>
      <c r="J429" s="95">
        <f>J427+J428</f>
        <v>-87352902</v>
      </c>
      <c r="K429" s="95">
        <f>K427+K428</f>
        <v>-112328602</v>
      </c>
      <c r="L429" s="95"/>
      <c r="M429" s="95"/>
      <c r="N429" s="95"/>
      <c r="O429" s="95"/>
      <c r="P429" s="95">
        <f>P427+P428</f>
        <v>224015331</v>
      </c>
    </row>
    <row r="430" spans="1:18" hidden="1" x14ac:dyDescent="0.3">
      <c r="E430" s="95">
        <v>0</v>
      </c>
      <c r="F430" s="95"/>
      <c r="G430" s="95"/>
      <c r="H430" s="95"/>
      <c r="I430" s="95"/>
      <c r="J430" s="95"/>
      <c r="K430" s="95"/>
      <c r="L430" s="95"/>
      <c r="M430" s="95"/>
      <c r="N430" s="95"/>
      <c r="O430" s="95"/>
      <c r="P430" s="95"/>
      <c r="Q430" s="4" t="s">
        <v>682</v>
      </c>
    </row>
    <row r="431" spans="1:18" hidden="1" x14ac:dyDescent="0.3">
      <c r="E431" s="95">
        <f>E429+E430</f>
        <v>-311368233</v>
      </c>
      <c r="F431" s="95"/>
      <c r="G431" s="95"/>
      <c r="H431" s="95"/>
      <c r="I431" s="95"/>
      <c r="J431" s="95">
        <f>J429-J430</f>
        <v>-87352902</v>
      </c>
      <c r="K431" s="95">
        <f>K429-K430</f>
        <v>-112328602</v>
      </c>
      <c r="L431" s="95"/>
      <c r="M431" s="95"/>
      <c r="N431" s="95"/>
      <c r="O431" s="95"/>
      <c r="P431" s="95">
        <f>P429-P430</f>
        <v>224015331</v>
      </c>
    </row>
    <row r="432" spans="1:18" x14ac:dyDescent="0.3">
      <c r="E432" s="95"/>
      <c r="F432" s="95"/>
      <c r="G432" s="95"/>
      <c r="H432" s="95"/>
      <c r="I432" s="95"/>
      <c r="J432" s="95"/>
      <c r="K432" s="95"/>
      <c r="L432" s="95"/>
      <c r="M432" s="95"/>
      <c r="N432" s="95"/>
      <c r="O432" s="95"/>
      <c r="P432" s="95"/>
    </row>
    <row r="433" spans="4:11" hidden="1" x14ac:dyDescent="0.3">
      <c r="K433" s="95"/>
    </row>
    <row r="434" spans="4:11" hidden="1" x14ac:dyDescent="0.3">
      <c r="E434" s="4">
        <f>50000/E421*100</f>
        <v>6.4746638175521469E-3</v>
      </c>
    </row>
    <row r="435" spans="4:11" hidden="1" x14ac:dyDescent="0.3">
      <c r="E435" s="4">
        <f>E416/E421*100</f>
        <v>0.19423991452656442</v>
      </c>
    </row>
    <row r="436" spans="4:11" x14ac:dyDescent="0.3">
      <c r="D436" s="96"/>
    </row>
    <row r="437" spans="4:11" x14ac:dyDescent="0.3">
      <c r="E437" s="96"/>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4:E424"/>
    <mergeCell ref="K10:K12"/>
    <mergeCell ref="L10:L12"/>
    <mergeCell ref="M10:N10"/>
    <mergeCell ref="O10:O12"/>
    <mergeCell ref="G11:G12"/>
    <mergeCell ref="H11:H12"/>
    <mergeCell ref="M11:M12"/>
    <mergeCell ref="N11:N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2024-08-30T08:38:01Z</dcterms:modified>
</cp:coreProperties>
</file>